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f8ffe37667190f2/Desktop/"/>
    </mc:Choice>
  </mc:AlternateContent>
  <xr:revisionPtr revIDLastSave="0" documentId="8_{A005B8E4-5BBD-44F4-8C01-23570122325E}" xr6:coauthVersionLast="47" xr6:coauthVersionMax="47" xr10:uidLastSave="{00000000-0000-0000-0000-000000000000}"/>
  <workbookProtection workbookAlgorithmName="SHA-512" workbookHashValue="+BHtJKs959y9aK5VjkNaQC+AeluX2Z6XQ0v/6FwwZl1lVMRURXxCv7sppCU72TwX6o+d1stP3dZL5E/LQ2netg==" workbookSaltValue="iTiD/IKVHeOW4rlO8o7kfg==" workbookSpinCount="100000" lockStructure="1"/>
  <bookViews>
    <workbookView xWindow="-16500" yWindow="432" windowWidth="16608" windowHeight="8712" xr2:uid="{CB35078D-C6E3-4A9D-A386-DB6980CD21AC}"/>
  </bookViews>
  <sheets>
    <sheet name="Form for Providing Data" sheetId="2" r:id="rId1"/>
    <sheet name="AIM Toolkit Results" sheetId="3" r:id="rId2"/>
    <sheet name="Lookups" sheetId="4" state="hidden" r:id="rId3"/>
    <sheet name="Formulae" sheetId="5" state="hidden" r:id="rId4"/>
  </sheets>
  <definedNames>
    <definedName name="Museum_Name">'Form for Providing Data'!$B$2</definedName>
    <definedName name="Number_of_Adult_Visitors_to_your_museum_in_last_full_year">'Form for Providing Data'!$B$9</definedName>
    <definedName name="Number_of_All_Visitors_to_your_museum_in_last_full_year">'Form for Providing Data'!$B$8</definedName>
    <definedName name="_xlnm.Print_Area" localSheetId="1">'AIM Toolkit Results'!$A$1:$C$25</definedName>
    <definedName name="Your_Name">'Form for Providing Data'!$B$3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" l="1"/>
  <c r="B28" i="2"/>
  <c r="B27" i="2"/>
  <c r="B26" i="2"/>
  <c r="A15" i="3" l="1"/>
  <c r="B29" i="2"/>
  <c r="B30" i="2"/>
  <c r="B32" i="2"/>
  <c r="B33" i="2"/>
  <c r="A20" i="3"/>
  <c r="A19" i="3"/>
  <c r="B12" i="5"/>
  <c r="B15" i="5" s="1" a="1"/>
  <c r="B15" i="5" s="1"/>
  <c r="B9" i="3"/>
  <c r="B4" i="3"/>
  <c r="B15" i="3"/>
  <c r="B20" i="5"/>
  <c r="D5" i="5"/>
  <c r="B6" i="3" s="1"/>
  <c r="A23" i="3" s="1"/>
  <c r="D4" i="5"/>
  <c r="B5" i="3" s="1"/>
  <c r="A22" i="3" s="1"/>
  <c r="B18" i="5"/>
  <c r="B32" i="5" s="1"/>
  <c r="B17" i="5"/>
  <c r="D22" i="5" s="1"/>
  <c r="B22" i="5" s="1"/>
  <c r="D8" i="5" s="1"/>
  <c r="A18" i="3"/>
  <c r="B14" i="5" l="1" a="1"/>
  <c r="B14" i="5" s="1"/>
  <c r="B16" i="5" a="1"/>
  <c r="B16" i="5" s="1"/>
  <c r="B11" i="3"/>
  <c r="E8" i="5"/>
  <c r="B12" i="3" s="1"/>
  <c r="D26" i="5"/>
  <c r="B26" i="5" s="1"/>
  <c r="D9" i="5" s="1"/>
  <c r="B13" i="3" s="1"/>
  <c r="D19" i="5"/>
  <c r="B19" i="5" s="1"/>
  <c r="B1" i="3"/>
  <c r="D2" i="5" l="1"/>
  <c r="B2" i="3" s="1"/>
  <c r="A21" i="3" s="1"/>
  <c r="D3" i="5"/>
  <c r="B3" i="3" l="1"/>
  <c r="D7" i="5"/>
  <c r="B10" i="3" s="1"/>
  <c r="D6" i="5"/>
  <c r="B7" i="3" s="1"/>
  <c r="A24" i="3" s="1"/>
  <c r="D10" i="5" l="1"/>
  <c r="B14" i="3" s="1"/>
  <c r="A2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<sst xmlns="http://schemas.openxmlformats.org/spreadsheetml/2006/main" count="486" uniqueCount="244">
  <si>
    <t>F1</t>
  </si>
  <si>
    <t>work out gross total (on and offsite spend) here</t>
  </si>
  <si>
    <t>Number of Adult Visitors to your museum in last full year</t>
  </si>
  <si>
    <t>work out gross offsite spend here</t>
  </si>
  <si>
    <t>F2</t>
  </si>
  <si>
    <t>Number of Employees</t>
  </si>
  <si>
    <t>Number of FTE Employees</t>
  </si>
  <si>
    <t xml:space="preserve">work out gross employment impacts here </t>
  </si>
  <si>
    <t>F3</t>
  </si>
  <si>
    <t>F4</t>
  </si>
  <si>
    <t xml:space="preserve">work out gross procurement impacts here </t>
  </si>
  <si>
    <t>F5</t>
  </si>
  <si>
    <t>formula to work out gross economic impact of museum based on above</t>
  </si>
  <si>
    <t>F6</t>
  </si>
  <si>
    <t xml:space="preserve">formula to work out net additional visitors impacts </t>
  </si>
  <si>
    <t>F7</t>
  </si>
  <si>
    <t xml:space="preserve">formula to work out net additional employment impacts </t>
  </si>
  <si>
    <t>F8</t>
  </si>
  <si>
    <t xml:space="preserve">formula to work out net additional procurement impacts </t>
  </si>
  <si>
    <t>F9</t>
  </si>
  <si>
    <t>formula to work out net economic impact of museum based on above</t>
  </si>
  <si>
    <t>Area</t>
  </si>
  <si>
    <t>Local</t>
  </si>
  <si>
    <t>Day</t>
  </si>
  <si>
    <t>Overnight</t>
  </si>
  <si>
    <t>Bedfordshire</t>
  </si>
  <si>
    <t>Berkshire</t>
  </si>
  <si>
    <t>Bristol/Bath Area</t>
  </si>
  <si>
    <t>Buckinghamshire</t>
  </si>
  <si>
    <t>Cambridgeshire</t>
  </si>
  <si>
    <t>Cheshire</t>
  </si>
  <si>
    <t>Cornwall</t>
  </si>
  <si>
    <t>County Durham</t>
  </si>
  <si>
    <t>Cumbria</t>
  </si>
  <si>
    <t>Derbyshire</t>
  </si>
  <si>
    <t>Devon</t>
  </si>
  <si>
    <t>Dorset</t>
  </si>
  <si>
    <t>East Sussex</t>
  </si>
  <si>
    <t>Essex</t>
  </si>
  <si>
    <t>Gloucestershire</t>
  </si>
  <si>
    <t>Greater London</t>
  </si>
  <si>
    <t>Greater Manchester</t>
  </si>
  <si>
    <t>Hampshire</t>
  </si>
  <si>
    <t>Hertfordshire</t>
  </si>
  <si>
    <t>Isle of Wight</t>
  </si>
  <si>
    <t>Kent</t>
  </si>
  <si>
    <t>Lancashire</t>
  </si>
  <si>
    <t>Leicestershire</t>
  </si>
  <si>
    <t>Lincolnshire</t>
  </si>
  <si>
    <t>Merseyside</t>
  </si>
  <si>
    <t>Norfolk</t>
  </si>
  <si>
    <t>North Lincolnshire/Humberside</t>
  </si>
  <si>
    <t>North Yorkshire</t>
  </si>
  <si>
    <t>Northamptonshire</t>
  </si>
  <si>
    <t>Northumberland</t>
  </si>
  <si>
    <t>Nottinghamshire</t>
  </si>
  <si>
    <t>Oxfordshire</t>
  </si>
  <si>
    <t>Shropshire</t>
  </si>
  <si>
    <t>Somerset</t>
  </si>
  <si>
    <t>South Yorkshire</t>
  </si>
  <si>
    <t>Staffordshire</t>
  </si>
  <si>
    <t>Suffolk</t>
  </si>
  <si>
    <t>Surrey</t>
  </si>
  <si>
    <t>Tees Valley</t>
  </si>
  <si>
    <t>Tyne and Wear</t>
  </si>
  <si>
    <t>Warwickshire</t>
  </si>
  <si>
    <t>West Midlands</t>
  </si>
  <si>
    <t>West Sussex</t>
  </si>
  <si>
    <t>West Yorkshire</t>
  </si>
  <si>
    <t>Wiltshire</t>
  </si>
  <si>
    <t>Worcestershire</t>
  </si>
  <si>
    <t>Inverclyde</t>
  </si>
  <si>
    <t>Renfrewshire</t>
  </si>
  <si>
    <t>West Dunbartonshire</t>
  </si>
  <si>
    <t>East Dunbartonshire</t>
  </si>
  <si>
    <t>Glasgow City</t>
  </si>
  <si>
    <t>East Renfrewshire</t>
  </si>
  <si>
    <t>North Lanarkshire</t>
  </si>
  <si>
    <t>Falkirk</t>
  </si>
  <si>
    <t>West Lothian</t>
  </si>
  <si>
    <t>City of Edinburgh</t>
  </si>
  <si>
    <t>Midlothian</t>
  </si>
  <si>
    <t>East Lothian</t>
  </si>
  <si>
    <t>Clackmannanshire</t>
  </si>
  <si>
    <t>Fife</t>
  </si>
  <si>
    <t>Dundee City</t>
  </si>
  <si>
    <t>Angus</t>
  </si>
  <si>
    <t>Aberdeenshire</t>
  </si>
  <si>
    <t>Aberdeen City</t>
  </si>
  <si>
    <t>Moray</t>
  </si>
  <si>
    <t>Highland</t>
  </si>
  <si>
    <t>Na h-Eileanan Siar</t>
  </si>
  <si>
    <t>Argyll and Bute</t>
  </si>
  <si>
    <t>Perth and Kinross</t>
  </si>
  <si>
    <t>Stirling</t>
  </si>
  <si>
    <t>North Ayrshire</t>
  </si>
  <si>
    <t>East Ayrshire</t>
  </si>
  <si>
    <t>South Ayrshire</t>
  </si>
  <si>
    <t>Dumfries and Galloway</t>
  </si>
  <si>
    <t>South Lanarkshire</t>
  </si>
  <si>
    <t>Scottish Borders</t>
  </si>
  <si>
    <t>Orkney</t>
  </si>
  <si>
    <t>Shetland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</si>
  <si>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</si>
  <si>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</si>
  <si>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</si>
  <si>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</si>
  <si>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</si>
  <si>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</si>
  <si>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</si>
  <si>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</si>
  <si>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</si>
  <si>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</si>
  <si>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</si>
  <si>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</si>
  <si>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</si>
  <si>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</si>
  <si>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</si>
  <si>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</si>
  <si>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</si>
  <si>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 xml:space="preserve">Rhondda Cynon Taf   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</si>
  <si>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</si>
  <si>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</si>
  <si>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</si>
  <si>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</si>
  <si>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</si>
  <si>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</si>
  <si>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</si>
  <si>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</si>
  <si>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</si>
  <si>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</si>
  <si>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</si>
  <si>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</si>
  <si>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</si>
  <si>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</si>
  <si>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</si>
  <si>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Small</t>
  </si>
  <si>
    <t>0 to 20000</t>
  </si>
  <si>
    <t>Medium</t>
  </si>
  <si>
    <t>20000 to 50000</t>
  </si>
  <si>
    <t>Large</t>
  </si>
  <si>
    <t>50000 to 100000</t>
  </si>
  <si>
    <t>Largest</t>
  </si>
  <si>
    <t>100000+</t>
  </si>
  <si>
    <t>Deadweight</t>
  </si>
  <si>
    <t>Leakage</t>
  </si>
  <si>
    <t>Displacement</t>
  </si>
  <si>
    <t>Multiplier</t>
  </si>
  <si>
    <t>Visitors Low</t>
  </si>
  <si>
    <t>Visitors Medium</t>
  </si>
  <si>
    <t>Visitors High</t>
  </si>
  <si>
    <t>Employment Small Museum</t>
  </si>
  <si>
    <t>Employment Medium Museum</t>
  </si>
  <si>
    <t>Employment Large Museum</t>
  </si>
  <si>
    <t>Employment Largest Museum</t>
  </si>
  <si>
    <t>Procurement spend Small Museum</t>
  </si>
  <si>
    <t>Procurement spend Medium Museum</t>
  </si>
  <si>
    <t>Procurement spend Large Museum</t>
  </si>
  <si>
    <t>Procurement spend Largest Museum</t>
  </si>
  <si>
    <t>Size - Number of Visitors</t>
  </si>
  <si>
    <t>General Information</t>
  </si>
  <si>
    <t>Visitor Data for Economic Impact</t>
  </si>
  <si>
    <t>Employment Data for Economic Impact</t>
  </si>
  <si>
    <t>Procurement Data for Economic Impact</t>
  </si>
  <si>
    <t>Responses</t>
  </si>
  <si>
    <t xml:space="preserve">Gross Economic Impact </t>
  </si>
  <si>
    <t>Visitor Impacts - on and offsite</t>
  </si>
  <si>
    <t>Visitor Impacts - offsite only</t>
  </si>
  <si>
    <t>Employment Impacts</t>
  </si>
  <si>
    <t>Procurement Impacts</t>
  </si>
  <si>
    <t xml:space="preserve">Net Economic Impact </t>
  </si>
  <si>
    <t>KEY ADVOCACY MESSAGES</t>
  </si>
  <si>
    <t>excel version</t>
  </si>
  <si>
    <t>Museum Attractiveness to Area</t>
  </si>
  <si>
    <t>Museum is a major or key attraction, drawing visitors to area</t>
  </si>
  <si>
    <t>Museum is a moderate attraction, drawing visitors to area</t>
  </si>
  <si>
    <t>Museum primarily serves a local audience</t>
  </si>
  <si>
    <t>Inputs Based on Characteristics</t>
  </si>
  <si>
    <t>Local Spend</t>
  </si>
  <si>
    <t>Day Spend</t>
  </si>
  <si>
    <t>Overnight Spend</t>
  </si>
  <si>
    <t>value based on location - xlookup</t>
  </si>
  <si>
    <t>Size of Museum</t>
  </si>
  <si>
    <t>Size Category</t>
  </si>
  <si>
    <t>Onsite Spend Category</t>
  </si>
  <si>
    <t>Onsite spend</t>
  </si>
  <si>
    <t xml:space="preserve">value based on number of visitors in data - nested if </t>
  </si>
  <si>
    <t>TO per employee</t>
  </si>
  <si>
    <t>source: ONS/ABS</t>
  </si>
  <si>
    <t>Leakage - Employment</t>
  </si>
  <si>
    <t>Leakage - Procurement</t>
  </si>
  <si>
    <t>Deadweight - Employment</t>
  </si>
  <si>
    <t>Displacement - Employment</t>
  </si>
  <si>
    <t>Multiplier - Employment</t>
  </si>
  <si>
    <t>Leakage - Visitors</t>
  </si>
  <si>
    <t>Deadweight - Visitors</t>
  </si>
  <si>
    <t>Displacement - Visitors</t>
  </si>
  <si>
    <t>Multiplier - Visitors</t>
  </si>
  <si>
    <t>Deadweight - Procurement</t>
  </si>
  <si>
    <t>Displacement - Procurement</t>
  </si>
  <si>
    <t>Multiplier - Procurement</t>
  </si>
  <si>
    <t>Attractiveness of Museum</t>
  </si>
  <si>
    <t>extra step - if blank, use if's…</t>
  </si>
  <si>
    <t>Dwell time</t>
  </si>
  <si>
    <t>extra step - if blank, use 05 day</t>
  </si>
  <si>
    <t>TOTAL GROSS ECONOMIC IMPACT (including multiplier impacts)</t>
  </si>
  <si>
    <t>FTE jobs</t>
  </si>
  <si>
    <t>equivalent Turnover value of these jobs</t>
  </si>
  <si>
    <t>Notes about providing the information</t>
  </si>
  <si>
    <t>Please type the name of the museum - this will appear in the results summary</t>
  </si>
  <si>
    <t>Please type your name - this will appear in the results summary</t>
  </si>
  <si>
    <t>Please select from the drop down menu</t>
  </si>
  <si>
    <t>Please type as a numeric response</t>
  </si>
  <si>
    <t>Please type as a numeric response. If not known, please use 75% of total visitors as an estimate</t>
  </si>
  <si>
    <t>Please type as a numeric response - use decimal places if required</t>
  </si>
  <si>
    <t>TOTAL NET ADDITIONAL ECONOMIC IMPACT (including multiplier impacts)</t>
  </si>
  <si>
    <t>Percent of Employees that live local to the museum (%)</t>
  </si>
  <si>
    <t>Percent of Visitors that are Local (%)</t>
  </si>
  <si>
    <t>Percent of Visitors that are National (%)</t>
  </si>
  <si>
    <t>Percent of Visitors that are International (%)</t>
  </si>
  <si>
    <t>Visitor Type Percentages</t>
  </si>
  <si>
    <t>Checks on Responses Provided</t>
  </si>
  <si>
    <t>(i.e., percent of visitors that live within the local authority boundary where the museum is located) - please type as a % response - e.g. 50%</t>
  </si>
  <si>
    <t>(i.e., percent of visitors from within the UK but outside the local authority where the museum is located) - please type as a % response - e.g. 50%</t>
  </si>
  <si>
    <t>(i.e., percent of visitors from outside of the UK) - please type as a % response - e.g. 50%</t>
  </si>
  <si>
    <t>Percent of Spend that takes place local to the museum</t>
  </si>
  <si>
    <t>Percent of Employees that live local to the museum</t>
  </si>
  <si>
    <t>Average Onsite Spend Per Visitor (£)</t>
  </si>
  <si>
    <t>Average Dwell-time of Visitors (as a proportion of a day)</t>
  </si>
  <si>
    <t>How important is your museum/attraction to the overall visitor economy/tourism offer of your local area?</t>
  </si>
  <si>
    <t>Please select your local authority area (or the wider area that your local authority is located within)</t>
  </si>
  <si>
    <t>Museum name</t>
  </si>
  <si>
    <t>Your name</t>
  </si>
  <si>
    <t>Number of Total Visitors to your museum in last full year</t>
  </si>
  <si>
    <t>Annual Procurement Spend on Goods and Services (£)</t>
  </si>
  <si>
    <t>Percent of Procurement Spend that takes place local to the museum (%)</t>
  </si>
  <si>
    <t xml:space="preserve">i.e., what was the total annual spend of the museum on (not including staffing costs) on purchasing goods and services? </t>
  </si>
  <si>
    <t>Please type (as a numeric response between 0 and 1) the typical dwell time of visitors as a proportion of a day (NB: if dwell time is more than 3 hours, a full day (1.0) can be attributed to the museum). If not known, leave blank and average values will be used automatically.</t>
  </si>
  <si>
    <t>Please type as a numeric response but without the currency - e.g., 5.50 for £5.50. If not known, leave blank and average values will be used automatically.</t>
  </si>
  <si>
    <t>Please type as a % response - e.g. 90% (i.e., within the local authority where the museum is located). If not known, leave blank and average values will be used automatically.</t>
  </si>
  <si>
    <t>Importance of Museum to Visitor Economy in Local Area</t>
  </si>
  <si>
    <t>Local Authority Area or Wider Area Local Authority is Located Within</t>
  </si>
  <si>
    <t>Total Employment and FTE Employment</t>
  </si>
  <si>
    <t>Total Visitors and Adult Visitors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</si>
</sst>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&quot;£&quot;#,##0"/>
    <numFmt numFmtId="165" formatCode="0.0%"/>
    <numFmt numFmtId="166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i/>
      <sz val="11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999908444471571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6" fontId="1" fillId="0" borderId="0" xfId="0" applyNumberFormat="1" applyFont="1"/>
    <xf numFmtId="9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3" fillId="0" borderId="0" xfId="0" applyFont="1"/>
    <xf numFmtId="0" fontId="1" fillId="3" borderId="0" xfId="0" applyFont="1" applyFill="1"/>
    <xf numFmtId="0" fontId="1" fillId="4" borderId="0" xfId="0" applyFont="1" applyFill="1"/>
    <xf numFmtId="9" fontId="1" fillId="3" borderId="0" xfId="0" applyNumberFormat="1" applyFont="1" applyFill="1"/>
    <xf numFmtId="9" fontId="1" fillId="4" borderId="0" xfId="0" applyNumberFormat="1" applyFont="1" applyFill="1"/>
    <xf numFmtId="10" fontId="1" fillId="4" borderId="0" xfId="0" applyNumberFormat="1" applyFont="1" applyFill="1"/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1" fillId="0" borderId="9" xfId="0" applyNumberFormat="1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164" fontId="1" fillId="0" borderId="15" xfId="0" applyNumberFormat="1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5" xfId="0" applyFont="1" applyBorder="1"/>
    <xf numFmtId="0" fontId="1" fillId="0" borderId="18" xfId="0" applyFont="1" applyBorder="1"/>
    <xf numFmtId="164" fontId="1" fillId="0" borderId="19" xfId="0" applyNumberFormat="1" applyFont="1" applyBorder="1"/>
    <xf numFmtId="0" fontId="1" fillId="0" borderId="20" xfId="0" applyFont="1" applyBorder="1"/>
    <xf numFmtId="166" fontId="1" fillId="0" borderId="9" xfId="0" applyNumberFormat="1" applyFont="1" applyBorder="1"/>
    <xf numFmtId="0" fontId="3" fillId="0" borderId="18" xfId="0" applyFont="1" applyBorder="1"/>
    <xf numFmtId="14" fontId="3" fillId="0" borderId="19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5" xfId="0" applyFont="1" applyBorder="1"/>
    <xf numFmtId="0" fontId="2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2" fillId="0" borderId="8" xfId="0" applyFont="1" applyBorder="1"/>
    <xf numFmtId="0" fontId="1" fillId="5" borderId="5" xfId="0" applyFont="1" applyFill="1" applyBorder="1"/>
    <xf numFmtId="0" fontId="1" fillId="5" borderId="8" xfId="0" applyFont="1" applyFill="1" applyBorder="1"/>
    <xf numFmtId="9" fontId="1" fillId="5" borderId="5" xfId="0" applyNumberFormat="1" applyFont="1" applyFill="1" applyBorder="1"/>
    <xf numFmtId="6" fontId="1" fillId="5" borderId="5" xfId="0" applyNumberFormat="1" applyFont="1" applyFill="1" applyBorder="1"/>
    <xf numFmtId="9" fontId="1" fillId="5" borderId="8" xfId="0" applyNumberFormat="1" applyFont="1" applyFill="1" applyBorder="1"/>
    <xf numFmtId="3" fontId="1" fillId="5" borderId="5" xfId="0" applyNumberFormat="1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</cellXfs>
  <cellStyles count="1">
    <cellStyle name="Normal" xfId="0" builtinId="0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2948F0-97F4-4FF3-9516-07406699A744}" name="Table1" displayName="Table1" ref="A1:A112" totalsRowShown="0" headerRowDxfId="23" dataDxfId="22">
  <autoFilter ref="A1:A112" xr:uid="{CA2948F0-97F4-4FF3-9516-07406699A744}"/>
  <tableColumns count="1">
    <tableColumn id="1" xr3:uid="{F0C28950-876E-4AE7-BE07-F234BF31BCDA}" name="Area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11E486-3A3C-49B3-AD72-4DBA2D17A72B}" name="Table2" displayName="Table2" ref="H1:H4" totalsRowShown="0" headerRowDxfId="20" dataDxfId="19">
  <autoFilter ref="H1:H4" xr:uid="{C311E486-3A3C-49B3-AD72-4DBA2D17A72B}"/>
  <tableColumns count="1">
    <tableColumn id="1" xr3:uid="{CD816635-810F-46E0-8AEC-32333C8B9B2F}" name="Museum Attractiveness to Area" dataDxf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86E24A-FA34-445B-92BA-E83470448EFC}" name="Table3" displayName="Table3" ref="K1:L5" totalsRowShown="0" headerRowDxfId="17" dataDxfId="16">
  <autoFilter ref="K1:L5" xr:uid="{9386E24A-FA34-445B-92BA-E83470448EFC}"/>
  <tableColumns count="2">
    <tableColumn id="1" xr3:uid="{0F26C6E2-7025-4D7A-BDE3-DC848D8E325D}" name="Onsite Spend Category" dataDxfId="15"/>
    <tableColumn id="2" xr3:uid="{3AE5BA71-A3B0-4ED5-8613-DFD08C2A08C7}" name="Onsite spend" data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4CB26B8-29BD-4D23-856C-CAADE0B027BE}" name="Table15" displayName="Table15" ref="C1:C112" totalsRowShown="0" headerRowDxfId="13" dataDxfId="12">
  <autoFilter ref="C1:C112" xr:uid="{B4CB26B8-29BD-4D23-856C-CAADE0B027BE}"/>
  <tableColumns count="1">
    <tableColumn id="1" xr3:uid="{CD1C40B9-0A7A-47FB-B242-8CC720A5A66C}" name="Area" dataDxfId="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E3A909-3821-494D-ADBC-868E9F803FB0}" name="Table16" displayName="Table16" ref="E1:E112" totalsRowShown="0" headerRowDxfId="10" dataDxfId="9">
  <autoFilter ref="E1:E112" xr:uid="{2AE3A909-3821-494D-ADBC-868E9F803FB0}"/>
  <tableColumns count="1">
    <tableColumn id="1" xr3:uid="{3BD5C388-6223-4C61-81A2-B16FF4CF07D0}" name="Area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3F6A-BC48-468F-8F44-2CE2FF4F6983}">
  <sheetPr>
    <pageSetUpPr fitToPage="1"/>
  </sheetPr>
  <dimension ref="A1:D33"/>
  <sheetViews>
    <sheetView tabSelected="1" zoomScale="70" zoomScaleNormal="70" workbookViewId="0"/>
  </sheetViews>
  <sheetFormatPr defaultRowHeight="13.8" x14ac:dyDescent="0.25"/>
  <cols>
    <col min="1" max="1" width="99.109375" style="1" bestFit="1" customWidth="1"/>
    <col min="2" max="2" width="77.5546875" style="1" bestFit="1" customWidth="1"/>
    <col min="3" max="3" width="255.77734375" style="1" bestFit="1" customWidth="1"/>
    <col min="4" max="16384" width="8.88671875" style="1"/>
  </cols>
  <sheetData>
    <row r="1" spans="1:4" x14ac:dyDescent="0.25">
      <c r="A1" s="14" t="s">
        <v>160</v>
      </c>
      <c r="B1" s="36" t="s">
        <v>164</v>
      </c>
      <c r="C1" s="38" t="s">
        <v>208</v>
      </c>
    </row>
    <row r="2" spans="1:4" x14ac:dyDescent="0.25">
      <c r="A2" s="17" t="s">
        <v>231</v>
      </c>
      <c r="B2" s="42"/>
      <c r="C2" s="39" t="s">
        <v>209</v>
      </c>
    </row>
    <row r="3" spans="1:4" x14ac:dyDescent="0.25">
      <c r="A3" s="17" t="s">
        <v>232</v>
      </c>
      <c r="B3" s="42"/>
      <c r="C3" s="39" t="s">
        <v>210</v>
      </c>
    </row>
    <row r="4" spans="1:4" x14ac:dyDescent="0.25">
      <c r="A4" s="17" t="s">
        <v>230</v>
      </c>
      <c r="B4" s="42"/>
      <c r="C4" s="39" t="s">
        <v>211</v>
      </c>
    </row>
    <row r="5" spans="1:4" ht="14.4" thickBot="1" x14ac:dyDescent="0.3">
      <c r="A5" s="19" t="s">
        <v>229</v>
      </c>
      <c r="B5" s="43"/>
      <c r="C5" s="39" t="s">
        <v>211</v>
      </c>
    </row>
    <row r="6" spans="1:4" ht="14.4" thickBot="1" x14ac:dyDescent="0.3">
      <c r="C6" s="39"/>
    </row>
    <row r="7" spans="1:4" x14ac:dyDescent="0.25">
      <c r="A7" s="14" t="s">
        <v>161</v>
      </c>
      <c r="B7" s="16"/>
      <c r="C7" s="39"/>
    </row>
    <row r="8" spans="1:4" x14ac:dyDescent="0.25">
      <c r="A8" s="17" t="s">
        <v>233</v>
      </c>
      <c r="B8" s="47"/>
      <c r="C8" s="39" t="s">
        <v>212</v>
      </c>
      <c r="D8" s="8"/>
    </row>
    <row r="9" spans="1:4" x14ac:dyDescent="0.25">
      <c r="A9" s="17" t="s">
        <v>2</v>
      </c>
      <c r="B9" s="42"/>
      <c r="C9" s="39" t="s">
        <v>213</v>
      </c>
    </row>
    <row r="10" spans="1:4" x14ac:dyDescent="0.25">
      <c r="A10" s="17" t="s">
        <v>217</v>
      </c>
      <c r="B10" s="44"/>
      <c r="C10" s="39" t="s">
        <v>222</v>
      </c>
      <c r="D10" s="8"/>
    </row>
    <row r="11" spans="1:4" x14ac:dyDescent="0.25">
      <c r="A11" s="17" t="s">
        <v>218</v>
      </c>
      <c r="B11" s="44"/>
      <c r="C11" s="39" t="s">
        <v>223</v>
      </c>
      <c r="D11" s="8"/>
    </row>
    <row r="12" spans="1:4" x14ac:dyDescent="0.25">
      <c r="A12" s="17" t="s">
        <v>219</v>
      </c>
      <c r="B12" s="44"/>
      <c r="C12" s="39" t="s">
        <v>224</v>
      </c>
      <c r="D12" s="8"/>
    </row>
    <row r="13" spans="1:4" x14ac:dyDescent="0.25">
      <c r="A13" s="17" t="s">
        <v>227</v>
      </c>
      <c r="B13" s="45"/>
      <c r="C13" s="39" t="s">
        <v>238</v>
      </c>
    </row>
    <row r="14" spans="1:4" ht="14.4" thickBot="1" x14ac:dyDescent="0.3">
      <c r="A14" s="19" t="s">
        <v>228</v>
      </c>
      <c r="B14" s="43"/>
      <c r="C14" s="39" t="s">
        <v>237</v>
      </c>
    </row>
    <row r="15" spans="1:4" ht="14.4" thickBot="1" x14ac:dyDescent="0.3">
      <c r="C15" s="39"/>
    </row>
    <row r="16" spans="1:4" x14ac:dyDescent="0.25">
      <c r="A16" s="14" t="s">
        <v>162</v>
      </c>
      <c r="B16" s="16"/>
      <c r="C16" s="39"/>
    </row>
    <row r="17" spans="1:4" x14ac:dyDescent="0.25">
      <c r="A17" s="17" t="s">
        <v>5</v>
      </c>
      <c r="B17" s="42"/>
      <c r="C17" s="39" t="s">
        <v>212</v>
      </c>
    </row>
    <row r="18" spans="1:4" x14ac:dyDescent="0.25">
      <c r="A18" s="17" t="s">
        <v>6</v>
      </c>
      <c r="B18" s="42"/>
      <c r="C18" s="39" t="s">
        <v>214</v>
      </c>
    </row>
    <row r="19" spans="1:4" ht="14.4" thickBot="1" x14ac:dyDescent="0.3">
      <c r="A19" s="19" t="s">
        <v>216</v>
      </c>
      <c r="B19" s="46"/>
      <c r="C19" s="39" t="s">
        <v>239</v>
      </c>
      <c r="D19" s="8"/>
    </row>
    <row r="20" spans="1:4" ht="14.4" thickBot="1" x14ac:dyDescent="0.3">
      <c r="C20" s="39"/>
    </row>
    <row r="21" spans="1:4" x14ac:dyDescent="0.25">
      <c r="A21" s="14" t="s">
        <v>163</v>
      </c>
      <c r="B21" s="16"/>
      <c r="C21" s="39"/>
    </row>
    <row r="22" spans="1:4" x14ac:dyDescent="0.25">
      <c r="A22" s="17" t="s">
        <v>234</v>
      </c>
      <c r="B22" s="42"/>
      <c r="C22" s="39" t="s">
        <v>236</v>
      </c>
      <c r="D22" s="2"/>
    </row>
    <row r="23" spans="1:4" ht="14.4" thickBot="1" x14ac:dyDescent="0.3">
      <c r="A23" s="19" t="s">
        <v>235</v>
      </c>
      <c r="B23" s="46"/>
      <c r="C23" s="40" t="s">
        <v>239</v>
      </c>
      <c r="D23" s="8"/>
    </row>
    <row r="24" spans="1:4" ht="14.4" thickBot="1" x14ac:dyDescent="0.3"/>
    <row r="25" spans="1:4" x14ac:dyDescent="0.25">
      <c r="A25" s="14" t="s">
        <v>221</v>
      </c>
      <c r="B25" s="16"/>
    </row>
    <row r="26" spans="1:4" x14ac:dyDescent="0.25">
      <c r="A26" s="17" t="s">
        <v>241</v>
      </c>
      <c r="B26" s="37" t="str">
        <f>IF(B4="","This question requires an answer", "Fine")</f>
        <v>This question requires an answer</v>
      </c>
    </row>
    <row r="27" spans="1:4" x14ac:dyDescent="0.25">
      <c r="A27" s="17" t="s">
        <v>240</v>
      </c>
      <c r="B27" s="37" t="str">
        <f>IF(B5="","This question requires an answer", "Fine")</f>
        <v>This question requires an answer</v>
      </c>
    </row>
    <row r="28" spans="1:4" x14ac:dyDescent="0.25">
      <c r="A28" s="17" t="s">
        <v>243</v>
      </c>
      <c r="B28" s="37" t="str">
        <f>IF(B9&gt;B8,"The total visitor/adult visitor data needs checked","Fine")</f>
        <v>Fine</v>
      </c>
    </row>
    <row r="29" spans="1:4" x14ac:dyDescent="0.25">
      <c r="A29" s="17" t="s">
        <v>220</v>
      </c>
      <c r="B29" s="37" t="str">
        <f>IF(SUM(B10:B12)=1,"Fine","Visitor Type Percents (local, national, international) Needs Corrected")</f>
        <v>Visitor Type Percents (local, national, international) Needs Corrected</v>
      </c>
    </row>
    <row r="30" spans="1:4" x14ac:dyDescent="0.25">
      <c r="A30" s="17" t="s">
        <v>203</v>
      </c>
      <c r="B30" s="37" t="str">
        <f>IF(B14&lt;=1,"Fine","Average dwell time of visitors Needs Corrected")</f>
        <v>Fine</v>
      </c>
    </row>
    <row r="31" spans="1:4" x14ac:dyDescent="0.25">
      <c r="A31" s="17" t="s">
        <v>242</v>
      </c>
      <c r="B31" s="37" t="str">
        <f>IF(B18&gt;B17,"The employee/FTE employee data needs checked","Fine")</f>
        <v>Fine</v>
      </c>
    </row>
    <row r="32" spans="1:4" x14ac:dyDescent="0.25">
      <c r="A32" s="17" t="s">
        <v>226</v>
      </c>
      <c r="B32" s="37" t="str">
        <f>IF(B19&lt;=1,"Fine","Percent of Employees that live local to the museum Needs Corrected")</f>
        <v>Fine</v>
      </c>
    </row>
    <row r="33" spans="1:2" ht="14.4" thickBot="1" x14ac:dyDescent="0.3">
      <c r="A33" s="19" t="s">
        <v>225</v>
      </c>
      <c r="B33" s="41" t="str">
        <f>IF(B23&lt;=1,"Fine","Percent of Spend that takes place local to the museum Needs Corrected")</f>
        <v>Fine</v>
      </c>
    </row>
  </sheetData>
  <sheetProtection algorithmName="SHA-512" hashValue="Jo5z3ujnrZX1uGxJ91dkQW4puMziivwJIv7X1qxjZ6QQ3SslMhv0FnBLbv2VbeoP0Xh1KsAelgAXlJysbSewUQ==" saltValue="oOi5tZebP8x6WeE+Yxi6BA==" spinCount="100000" sheet="1" objects="1" scenarios="1"/>
  <protectedRanges>
    <protectedRange algorithmName="SHA-512" hashValue="Mn3uAJ/rstUa2wapGGOJYeSxJDIlbF4MXRN9Mh5hr1RS2u/spHRKbEhjUWuWznDkQ5rIYoV0CBinDsjCPokS6g==" saltValue="EGGUJL7wYYdO2dl50coEpg==" spinCount="100000" sqref="B2:B23" name="Data"/>
  </protectedRanges>
  <conditionalFormatting sqref="B26:B27">
    <cfRule type="containsText" dxfId="7" priority="6" operator="containsText" text="This question requires an answer">
      <formula>NOT(ISERROR(SEARCH("This question requires an answer",B26)))</formula>
    </cfRule>
  </conditionalFormatting>
  <conditionalFormatting sqref="B26:B28">
    <cfRule type="containsText" dxfId="6" priority="3" operator="containsText" text="Fine">
      <formula>NOT(ISERROR(SEARCH("Fine",B26)))</formula>
    </cfRule>
  </conditionalFormatting>
  <conditionalFormatting sqref="B28">
    <cfRule type="containsText" dxfId="5" priority="4" operator="containsText" text="The total visitor/adult visitor data needs checked">
      <formula>NOT(ISERROR(SEARCH("The total visitor/adult visitor data needs checked",B28)))</formula>
    </cfRule>
  </conditionalFormatting>
  <conditionalFormatting sqref="B29">
    <cfRule type="containsText" dxfId="4" priority="11" operator="containsText" text="Correcting">
      <formula>NOT(ISERROR(SEARCH("Correcting",B29)))</formula>
    </cfRule>
  </conditionalFormatting>
  <conditionalFormatting sqref="B29:B30 B32:B33">
    <cfRule type="containsText" dxfId="3" priority="9" operator="containsText" text="Corrected">
      <formula>NOT(ISERROR(SEARCH("Corrected",B29)))</formula>
    </cfRule>
    <cfRule type="containsText" dxfId="2" priority="12" operator="containsText" text="Fine">
      <formula>NOT(ISERROR(SEARCH("Fine",B29)))</formula>
    </cfRule>
  </conditionalFormatting>
  <conditionalFormatting sqref="B31">
    <cfRule type="containsText" dxfId="1" priority="1" operator="containsText" text="The employee/FTE employee data needs checked">
      <formula>NOT(ISERROR(SEARCH("The employee/FTE employee data needs checked",B31)))</formula>
    </cfRule>
    <cfRule type="containsText" dxfId="0" priority="2" operator="containsText" text="Fine">
      <formula>NOT(ISERROR(SEARCH("Fine",B31)))</formula>
    </cfRule>
  </conditionalFormatting>
  <pageMargins left="0.70866141732283472" right="0.70866141732283472" top="0.74803149606299213" bottom="0.74803149606299213" header="0.31496062992125984" footer="0.31496062992125984"/>
  <pageSetup scale="47" fitToWidth="2" orientation="landscape" r:id="rId1"/>
  <ignoredErrors>
    <ignoredError sqref="B29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8C3B89F-75FB-41E4-B865-CF47EE23A7E2}">
          <x14:formula1>
            <xm:f>Lookups!$A$2:$A$111</xm:f>
          </x14:formula1>
          <xm:sqref>B4</xm:sqref>
        </x14:dataValidation>
        <x14:dataValidation type="list" allowBlank="1" showInputMessage="1" showErrorMessage="1" xr:uid="{4D71C01D-AED4-42D0-9F8B-451D84C90EB9}">
          <x14:formula1>
            <xm:f>Lookups!$H$2:$H$4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9987E-350B-40FD-811A-F1C92AE99920}">
  <sheetPr>
    <pageSetUpPr fitToPage="1"/>
  </sheetPr>
  <dimension ref="A1:D25"/>
  <sheetViews>
    <sheetView zoomScale="70" zoomScaleNormal="70" workbookViewId="0"/>
  </sheetViews>
  <sheetFormatPr defaultRowHeight="24" customHeight="1" x14ac:dyDescent="0.25"/>
  <cols>
    <col min="1" max="1" width="71.5546875" style="1" bestFit="1" customWidth="1"/>
    <col min="2" max="2" width="29.88671875" style="1" customWidth="1"/>
    <col min="3" max="3" width="62.5546875" style="1" customWidth="1"/>
    <col min="4" max="16384" width="8.88671875" style="1"/>
  </cols>
  <sheetData>
    <row r="1" spans="1:4" ht="24" customHeight="1" x14ac:dyDescent="0.25">
      <c r="A1" s="14" t="s">
        <v>165</v>
      </c>
      <c r="B1" s="15">
        <f>Museum_Name</f>
        <v>0</v>
      </c>
      <c r="C1" s="16"/>
    </row>
    <row r="2" spans="1:4" ht="24" customHeight="1" x14ac:dyDescent="0.25">
      <c r="A2" s="23" t="s">
        <v>166</v>
      </c>
      <c r="B2" s="22">
        <f>ROUND(Formulae!D2,-1)</f>
        <v>0</v>
      </c>
      <c r="C2" s="24"/>
    </row>
    <row r="3" spans="1:4" ht="24" customHeight="1" x14ac:dyDescent="0.25">
      <c r="A3" s="25" t="s">
        <v>167</v>
      </c>
      <c r="B3" s="21">
        <f>ROUND(Formulae!D3,-1)</f>
        <v>0</v>
      </c>
      <c r="C3" s="26"/>
    </row>
    <row r="4" spans="1:4" ht="24" customHeight="1" x14ac:dyDescent="0.25">
      <c r="A4" s="17" t="s">
        <v>168</v>
      </c>
      <c r="B4" s="1">
        <f>'Form for Providing Data'!B18</f>
        <v>0</v>
      </c>
      <c r="C4" s="18" t="s">
        <v>206</v>
      </c>
      <c r="D4" s="6"/>
    </row>
    <row r="5" spans="1:4" ht="24" customHeight="1" x14ac:dyDescent="0.25">
      <c r="A5" s="27"/>
      <c r="B5" s="20">
        <f>ROUND(Formulae!D4,-1)</f>
        <v>0</v>
      </c>
      <c r="C5" s="28" t="s">
        <v>207</v>
      </c>
    </row>
    <row r="6" spans="1:4" ht="24" customHeight="1" x14ac:dyDescent="0.25">
      <c r="A6" s="25" t="s">
        <v>169</v>
      </c>
      <c r="B6" s="21">
        <f>Formulae!D5</f>
        <v>0</v>
      </c>
      <c r="C6" s="29"/>
    </row>
    <row r="7" spans="1:4" ht="24" customHeight="1" thickBot="1" x14ac:dyDescent="0.3">
      <c r="A7" s="30" t="s">
        <v>205</v>
      </c>
      <c r="B7" s="31">
        <f>ROUND(Formulae!D6,-1)</f>
        <v>0</v>
      </c>
      <c r="C7" s="32"/>
    </row>
    <row r="8" spans="1:4" ht="24" customHeight="1" thickBot="1" x14ac:dyDescent="0.3"/>
    <row r="9" spans="1:4" ht="24" customHeight="1" x14ac:dyDescent="0.25">
      <c r="A9" s="14" t="s">
        <v>170</v>
      </c>
      <c r="B9" s="15">
        <f>Museum_Name</f>
        <v>0</v>
      </c>
      <c r="C9" s="16"/>
    </row>
    <row r="10" spans="1:4" ht="24" customHeight="1" x14ac:dyDescent="0.25">
      <c r="A10" s="25" t="s">
        <v>167</v>
      </c>
      <c r="B10" s="21">
        <f>ROUND(Formulae!D7,-1)</f>
        <v>0</v>
      </c>
      <c r="C10" s="29"/>
    </row>
    <row r="11" spans="1:4" ht="24" customHeight="1" x14ac:dyDescent="0.25">
      <c r="A11" s="23" t="s">
        <v>168</v>
      </c>
      <c r="B11" s="33">
        <f>Formulae!D8</f>
        <v>0</v>
      </c>
      <c r="C11" s="24" t="s">
        <v>206</v>
      </c>
    </row>
    <row r="12" spans="1:4" ht="24" customHeight="1" x14ac:dyDescent="0.25">
      <c r="A12" s="27"/>
      <c r="B12" s="20">
        <f>ROUND(Formulae!E8,-1)</f>
        <v>0</v>
      </c>
      <c r="C12" s="28" t="s">
        <v>207</v>
      </c>
    </row>
    <row r="13" spans="1:4" ht="24" customHeight="1" x14ac:dyDescent="0.25">
      <c r="A13" s="25" t="s">
        <v>169</v>
      </c>
      <c r="B13" s="21">
        <f>ROUND(Formulae!D9,-1)</f>
        <v>0</v>
      </c>
      <c r="C13" s="29"/>
    </row>
    <row r="14" spans="1:4" ht="24" customHeight="1" x14ac:dyDescent="0.25">
      <c r="A14" s="25" t="s">
        <v>215</v>
      </c>
      <c r="B14" s="21">
        <f>(ROUND(Formulae!D10,-1))</f>
        <v>0</v>
      </c>
      <c r="C14" s="29"/>
    </row>
    <row r="15" spans="1:4" ht="24" customHeight="1" thickBot="1" x14ac:dyDescent="0.3">
      <c r="A15" s="34" t="str">
        <f>"Based on information provided by: "&amp;""&amp;Your_Name&amp;" on the following date:"</f>
        <v>Based on information provided by:  on the following date:</v>
      </c>
      <c r="B15" s="35">
        <f ca="1">TODAY()</f>
        <v>45594</v>
      </c>
      <c r="C15" s="32"/>
    </row>
    <row r="16" spans="1:4" ht="24" customHeight="1" thickBot="1" x14ac:dyDescent="0.3"/>
    <row r="17" spans="1:3" ht="24" customHeight="1" x14ac:dyDescent="0.25">
      <c r="A17" s="51" t="s">
        <v>171</v>
      </c>
      <c r="B17" s="52"/>
      <c r="C17" s="53"/>
    </row>
    <row r="18" spans="1:3" ht="24" customHeight="1" x14ac:dyDescent="0.25">
      <c r="A18" s="54" t="str">
        <f>"AIM Economic Impact Toolkit 2024 Findings for " &amp;Museum_Name</f>
        <v xml:space="preserve">AIM Economic Impact Toolkit 2024 Findings for </v>
      </c>
      <c r="B18" s="55"/>
      <c r="C18" s="56"/>
    </row>
    <row r="19" spans="1:3" ht="24" customHeight="1" x14ac:dyDescent="0.25">
      <c r="A19" s="57" t="str">
        <f>"The total number of visitors to "&amp;Museum_Name&amp;" in the last full year was " &amp;Number_of_All_Visitors_to_your_museum_in_last_full_year&amp;""</f>
        <v xml:space="preserve">The total number of visitors to  in the last full year was </v>
      </c>
      <c r="B19" s="58"/>
      <c r="C19" s="59"/>
    </row>
    <row r="20" spans="1:3" ht="24" customHeight="1" x14ac:dyDescent="0.25">
      <c r="A20" s="57" t="str">
        <f>('Form for Providing Data'!B11+'Form for Providing Data'!B12)*100&amp;"% of these visitors were from outside of the local area, whilst "&amp; 'Form for Providing Data'!B10*100 &amp;"% of the visitors to "&amp;Museum_Name&amp;" were local visitors."</f>
        <v>0% of these visitors were from outside of the local area, whilst 0% of the visitors to  were local visitors.</v>
      </c>
      <c r="B20" s="58"/>
      <c r="C20" s="59"/>
    </row>
    <row r="21" spans="1:3" ht="24" customHeight="1" x14ac:dyDescent="0.25">
      <c r="A21" s="57" t="str">
        <f>"The total spend of these visitors - both onsite at "&amp;Museum_Name&amp;" and elsewhere in the local area - was £"&amp;B2&amp;"."</f>
        <v>The total spend of these visitors - both onsite at  and elsewhere in the local area - was £0.</v>
      </c>
      <c r="B21" s="58"/>
      <c r="C21" s="59"/>
    </row>
    <row r="22" spans="1:3" ht="24" customHeight="1" x14ac:dyDescent="0.25">
      <c r="A22" s="57" t="str">
        <f>Museum_Name&amp;" employs a total of "&amp;'Form for Providing Data'!B17&amp;" paid staff, and directly supports a total of "&amp;'Form for Providing Data'!B18&amp;" FTE jobs, equivalent to a turnover value of £"&amp; B5 &amp;". "&amp;'Form for Providing Data'!B19*100&amp;"% of these jobs are in the local area."</f>
        <v xml:space="preserve"> employs a total of  paid staff, and directly supports a total of  FTE jobs, equivalent to a turnover value of £0. 0% of these jobs are in the local area.</v>
      </c>
      <c r="B22" s="58"/>
      <c r="C22" s="59"/>
    </row>
    <row r="23" spans="1:3" ht="24" customHeight="1" x14ac:dyDescent="0.25">
      <c r="A23" s="57" t="str">
        <f>Museum_Name&amp;" spent a total of £"&amp;B6 &amp;" on goods and services in this year, "&amp;'Form for Providing Data'!B23 *100 &amp;"% of which was spent in the local area."</f>
        <v xml:space="preserve"> spent a total of £0 on goods and services in this year, 0% of which was spent in the local area.</v>
      </c>
      <c r="B23" s="58"/>
      <c r="C23" s="59"/>
    </row>
    <row r="24" spans="1:3" ht="24" customHeight="1" x14ac:dyDescent="0.25">
      <c r="A24" s="57" t="str">
        <f>"The overall aggregate annual gross economic impact of "&amp; Museum_Name&amp;" in this year was: £"&amp;B7 &amp;". This includes the direct, indirect, and induced effects."</f>
        <v>The overall aggregate annual gross economic impact of  in this year was: £0. This includes the direct, indirect, and induced effects.</v>
      </c>
      <c r="B24" s="58"/>
      <c r="C24" s="59"/>
    </row>
    <row r="25" spans="1:3" ht="24" customHeight="1" thickBot="1" x14ac:dyDescent="0.3">
      <c r="A25" s="48" t="str">
        <f>"The overall aggregate annual net additional economic impact of "&amp; Museum_Name&amp;" in this year was: £" &amp; B14&amp;". This includes the direct, indirect, and induced effects."</f>
        <v>The overall aggregate annual net additional economic impact of  in this year was: £0. This includes the direct, indirect, and induced effects.</v>
      </c>
      <c r="B25" s="49"/>
      <c r="C25" s="50"/>
    </row>
  </sheetData>
  <sheetProtection algorithmName="SHA-512" hashValue="9qiEU5LlBD9oNSr72I8A5bToqHAVnrxWGRodV/YgoMrI5TcVK4B5/sAGfXxlq7kZooX9iI/1DD3/gD/dtU3HKg==" saltValue="n6RzfeeqI8/rpXpun5x9bw==" spinCount="100000" sheet="1" objects="1" scenarios="1"/>
  <mergeCells count="9">
    <mergeCell ref="A25:C25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79BBC-DD2B-4EDC-9893-E6F68DBFF923}">
  <dimension ref="A1:Q112"/>
  <sheetViews>
    <sheetView zoomScale="70" zoomScaleNormal="70" workbookViewId="0">
      <selection activeCell="E1" sqref="E1"/>
    </sheetView>
  </sheetViews>
  <sheetFormatPr defaultRowHeight="13.8" x14ac:dyDescent="0.25"/>
  <cols>
    <col min="1" max="1" width="36.88671875" style="1" bestFit="1" customWidth="1"/>
    <col min="2" max="6" width="8.88671875" style="1"/>
    <col min="7" max="7" width="49.21875" style="1" bestFit="1" customWidth="1"/>
    <col min="8" max="8" width="36.21875" style="1" customWidth="1"/>
    <col min="9" max="9" width="8.21875" style="1" bestFit="1" customWidth="1"/>
    <col min="10" max="10" width="24.21875" style="1" bestFit="1" customWidth="1"/>
    <col min="11" max="11" width="26.6640625" style="1" customWidth="1"/>
    <col min="12" max="12" width="16.33203125" style="1" customWidth="1"/>
    <col min="13" max="13" width="35.5546875" style="1" bestFit="1" customWidth="1"/>
    <col min="14" max="14" width="11.6640625" style="1" bestFit="1" customWidth="1"/>
    <col min="15" max="15" width="8.5546875" style="1" bestFit="1" customWidth="1"/>
    <col min="16" max="16" width="13.109375" style="1" bestFit="1" customWidth="1"/>
    <col min="17" max="17" width="9.33203125" style="1" bestFit="1" customWidth="1"/>
    <col min="18" max="16384" width="8.88671875" style="1"/>
  </cols>
  <sheetData>
    <row r="1" spans="1:17" x14ac:dyDescent="0.25">
      <c r="A1" s="2" t="s">
        <v>21</v>
      </c>
      <c r="B1" s="1" t="s">
        <v>22</v>
      </c>
      <c r="C1" s="2" t="s">
        <v>21</v>
      </c>
      <c r="D1" s="1" t="s">
        <v>23</v>
      </c>
      <c r="E1" s="2" t="s">
        <v>21</v>
      </c>
      <c r="F1" s="1" t="s">
        <v>24</v>
      </c>
      <c r="H1" s="2" t="s">
        <v>173</v>
      </c>
      <c r="I1" s="1" t="s">
        <v>183</v>
      </c>
      <c r="J1" s="1" t="s">
        <v>159</v>
      </c>
      <c r="K1" s="2" t="s">
        <v>184</v>
      </c>
      <c r="L1" s="2" t="s">
        <v>185</v>
      </c>
      <c r="N1" s="1" t="s">
        <v>144</v>
      </c>
      <c r="O1" s="1" t="s">
        <v>145</v>
      </c>
      <c r="P1" s="1" t="s">
        <v>146</v>
      </c>
      <c r="Q1" s="1" t="s">
        <v>147</v>
      </c>
    </row>
    <row r="2" spans="1:17" x14ac:dyDescent="0.25">
      <c r="A2" s="1" t="s">
        <v>25</v>
      </c>
      <c r="B2" s="3">
        <v>9.7232505589084433</v>
      </c>
      <c r="C2" s="1" t="s">
        <v>25</v>
      </c>
      <c r="D2" s="3">
        <v>19.446501117816887</v>
      </c>
      <c r="E2" s="1" t="s">
        <v>25</v>
      </c>
      <c r="F2" s="3">
        <v>84.57</v>
      </c>
      <c r="G2" s="2"/>
      <c r="H2" s="1" t="s">
        <v>174</v>
      </c>
      <c r="I2" s="1" t="s">
        <v>136</v>
      </c>
      <c r="J2" s="1" t="s">
        <v>137</v>
      </c>
      <c r="K2" s="1" t="s">
        <v>136</v>
      </c>
      <c r="L2" s="1">
        <v>4.0599999999999996</v>
      </c>
      <c r="M2" s="1" t="s">
        <v>148</v>
      </c>
      <c r="N2" s="1">
        <v>0</v>
      </c>
      <c r="O2" s="1">
        <v>0</v>
      </c>
      <c r="P2" s="4">
        <v>0.25</v>
      </c>
      <c r="Q2" s="1">
        <v>1.577</v>
      </c>
    </row>
    <row r="3" spans="1:17" x14ac:dyDescent="0.25">
      <c r="A3" s="1" t="s">
        <v>26</v>
      </c>
      <c r="B3" s="3">
        <v>16.330613748632274</v>
      </c>
      <c r="C3" s="1" t="s">
        <v>26</v>
      </c>
      <c r="D3" s="3">
        <v>32.661227497264548</v>
      </c>
      <c r="E3" s="1" t="s">
        <v>26</v>
      </c>
      <c r="F3" s="3">
        <v>73.41</v>
      </c>
      <c r="H3" s="1" t="s">
        <v>175</v>
      </c>
      <c r="I3" s="1" t="s">
        <v>138</v>
      </c>
      <c r="J3" s="1" t="s">
        <v>139</v>
      </c>
      <c r="K3" s="1" t="s">
        <v>138</v>
      </c>
      <c r="L3" s="1">
        <v>7.5</v>
      </c>
      <c r="M3" s="1" t="s">
        <v>149</v>
      </c>
      <c r="N3" s="1">
        <v>0</v>
      </c>
      <c r="O3" s="1">
        <v>0</v>
      </c>
      <c r="P3" s="4">
        <v>0.5</v>
      </c>
      <c r="Q3" s="1">
        <v>1.577</v>
      </c>
    </row>
    <row r="4" spans="1:17" x14ac:dyDescent="0.25">
      <c r="A4" s="1" t="s">
        <v>27</v>
      </c>
      <c r="B4" s="3">
        <v>23.451897838898425</v>
      </c>
      <c r="C4" s="1" t="s">
        <v>27</v>
      </c>
      <c r="D4" s="3">
        <v>46.90379567779685</v>
      </c>
      <c r="E4" s="1" t="s">
        <v>27</v>
      </c>
      <c r="F4" s="3">
        <v>81.97</v>
      </c>
      <c r="H4" s="1" t="s">
        <v>176</v>
      </c>
      <c r="I4" s="1" t="s">
        <v>140</v>
      </c>
      <c r="J4" s="1" t="s">
        <v>141</v>
      </c>
      <c r="K4" s="1" t="s">
        <v>140</v>
      </c>
      <c r="L4" s="1">
        <v>12.71</v>
      </c>
      <c r="M4" s="1" t="s">
        <v>150</v>
      </c>
      <c r="N4" s="1">
        <v>0</v>
      </c>
      <c r="O4" s="1">
        <v>0</v>
      </c>
      <c r="P4" s="4">
        <v>0.75</v>
      </c>
      <c r="Q4" s="1">
        <v>1.577</v>
      </c>
    </row>
    <row r="5" spans="1:17" x14ac:dyDescent="0.25">
      <c r="A5" s="1" t="s">
        <v>28</v>
      </c>
      <c r="B5" s="3">
        <v>16.274994999172954</v>
      </c>
      <c r="C5" s="1" t="s">
        <v>28</v>
      </c>
      <c r="D5" s="3">
        <v>32.549989998345907</v>
      </c>
      <c r="E5" s="1" t="s">
        <v>28</v>
      </c>
      <c r="F5" s="3">
        <v>59.77</v>
      </c>
      <c r="I5" s="1" t="s">
        <v>142</v>
      </c>
      <c r="J5" s="1" t="s">
        <v>143</v>
      </c>
      <c r="K5" s="1" t="s">
        <v>142</v>
      </c>
      <c r="L5" s="1">
        <v>21.93</v>
      </c>
      <c r="M5" s="1" t="s">
        <v>151</v>
      </c>
      <c r="N5" s="4">
        <v>0.25</v>
      </c>
      <c r="O5" s="4">
        <v>0.17</v>
      </c>
      <c r="P5" s="5">
        <v>0.375</v>
      </c>
      <c r="Q5" s="1">
        <v>1.577</v>
      </c>
    </row>
    <row r="6" spans="1:17" x14ac:dyDescent="0.25">
      <c r="A6" s="1" t="s">
        <v>29</v>
      </c>
      <c r="B6" s="3">
        <v>15.930098412246425</v>
      </c>
      <c r="C6" s="1" t="s">
        <v>29</v>
      </c>
      <c r="D6" s="3">
        <v>31.860196824492849</v>
      </c>
      <c r="E6" s="1" t="s">
        <v>29</v>
      </c>
      <c r="F6" s="3">
        <v>74.099999999999994</v>
      </c>
      <c r="M6" s="1" t="s">
        <v>152</v>
      </c>
      <c r="N6" s="4">
        <v>0.25</v>
      </c>
      <c r="O6" s="4">
        <v>0.26</v>
      </c>
      <c r="P6" s="5">
        <v>0.375</v>
      </c>
      <c r="Q6" s="1">
        <v>1.577</v>
      </c>
    </row>
    <row r="7" spans="1:17" x14ac:dyDescent="0.25">
      <c r="A7" s="1" t="s">
        <v>30</v>
      </c>
      <c r="B7" s="3">
        <v>17.956731137254643</v>
      </c>
      <c r="C7" s="1" t="s">
        <v>30</v>
      </c>
      <c r="D7" s="3">
        <v>35.913462274509286</v>
      </c>
      <c r="E7" s="1" t="s">
        <v>30</v>
      </c>
      <c r="F7" s="3">
        <v>73.099999999999994</v>
      </c>
      <c r="M7" s="1" t="s">
        <v>153</v>
      </c>
      <c r="N7" s="4">
        <v>0.25</v>
      </c>
      <c r="O7" s="4">
        <v>0.39</v>
      </c>
      <c r="P7" s="5">
        <v>0.375</v>
      </c>
      <c r="Q7" s="1">
        <v>1.577</v>
      </c>
    </row>
    <row r="8" spans="1:17" x14ac:dyDescent="0.25">
      <c r="A8" s="1" t="s">
        <v>31</v>
      </c>
      <c r="B8" s="3">
        <v>16.510122922597596</v>
      </c>
      <c r="C8" s="1" t="s">
        <v>31</v>
      </c>
      <c r="D8" s="3">
        <v>33.020245845195191</v>
      </c>
      <c r="E8" s="1" t="s">
        <v>31</v>
      </c>
      <c r="F8" s="3">
        <v>85.7</v>
      </c>
      <c r="M8" s="1" t="s">
        <v>154</v>
      </c>
      <c r="N8" s="4">
        <v>0.25</v>
      </c>
      <c r="O8" s="4">
        <v>0.34</v>
      </c>
      <c r="P8" s="5">
        <v>0.375</v>
      </c>
      <c r="Q8" s="1">
        <v>1.577</v>
      </c>
    </row>
    <row r="9" spans="1:17" x14ac:dyDescent="0.25">
      <c r="A9" s="1" t="s">
        <v>32</v>
      </c>
      <c r="B9" s="3">
        <v>12.400282516104859</v>
      </c>
      <c r="C9" s="1" t="s">
        <v>32</v>
      </c>
      <c r="D9" s="3">
        <v>24.800565032209718</v>
      </c>
      <c r="E9" s="1" t="s">
        <v>32</v>
      </c>
      <c r="F9" s="3">
        <v>50.79</v>
      </c>
      <c r="M9" s="1" t="s">
        <v>155</v>
      </c>
      <c r="N9" s="4">
        <v>0.25</v>
      </c>
      <c r="O9" s="4">
        <v>0.46</v>
      </c>
      <c r="P9" s="4">
        <v>0.25</v>
      </c>
      <c r="Q9" s="1">
        <v>1.577</v>
      </c>
    </row>
    <row r="10" spans="1:17" x14ac:dyDescent="0.25">
      <c r="A10" s="1" t="s">
        <v>33</v>
      </c>
      <c r="B10" s="3">
        <v>13.824916877089539</v>
      </c>
      <c r="C10" s="1" t="s">
        <v>33</v>
      </c>
      <c r="D10" s="3">
        <v>27.649833754179078</v>
      </c>
      <c r="E10" s="1" t="s">
        <v>33</v>
      </c>
      <c r="F10" s="3">
        <v>80.86</v>
      </c>
      <c r="M10" s="1" t="s">
        <v>156</v>
      </c>
      <c r="N10" s="4">
        <v>0.25</v>
      </c>
      <c r="O10" s="4">
        <v>0.45</v>
      </c>
      <c r="P10" s="4">
        <v>0.25</v>
      </c>
      <c r="Q10" s="1">
        <v>1.577</v>
      </c>
    </row>
    <row r="11" spans="1:17" x14ac:dyDescent="0.25">
      <c r="A11" s="1" t="s">
        <v>34</v>
      </c>
      <c r="B11" s="3">
        <v>15.5657628053723</v>
      </c>
      <c r="C11" s="1" t="s">
        <v>34</v>
      </c>
      <c r="D11" s="3">
        <v>31.1315256107446</v>
      </c>
      <c r="E11" s="1" t="s">
        <v>34</v>
      </c>
      <c r="F11" s="3">
        <v>69.28</v>
      </c>
      <c r="M11" s="1" t="s">
        <v>157</v>
      </c>
      <c r="N11" s="4">
        <v>0.25</v>
      </c>
      <c r="O11" s="4">
        <v>0.5</v>
      </c>
      <c r="P11" s="4">
        <v>0.25</v>
      </c>
      <c r="Q11" s="1">
        <v>1.577</v>
      </c>
    </row>
    <row r="12" spans="1:17" x14ac:dyDescent="0.25">
      <c r="A12" s="1" t="s">
        <v>35</v>
      </c>
      <c r="B12" s="3">
        <v>14.622579753394509</v>
      </c>
      <c r="C12" s="1" t="s">
        <v>35</v>
      </c>
      <c r="D12" s="3">
        <v>29.245159506789019</v>
      </c>
      <c r="E12" s="1" t="s">
        <v>35</v>
      </c>
      <c r="F12" s="3">
        <v>74.86</v>
      </c>
      <c r="M12" s="1" t="s">
        <v>158</v>
      </c>
      <c r="N12" s="4">
        <v>0.25</v>
      </c>
      <c r="O12" s="4">
        <v>0.55000000000000004</v>
      </c>
      <c r="P12" s="4">
        <v>0.25</v>
      </c>
      <c r="Q12" s="1">
        <v>1.577</v>
      </c>
    </row>
    <row r="13" spans="1:17" x14ac:dyDescent="0.25">
      <c r="A13" s="1" t="s">
        <v>36</v>
      </c>
      <c r="B13" s="3">
        <v>13.371844210597597</v>
      </c>
      <c r="C13" s="1" t="s">
        <v>36</v>
      </c>
      <c r="D13" s="3">
        <v>26.743688421195195</v>
      </c>
      <c r="E13" s="1" t="s">
        <v>36</v>
      </c>
      <c r="F13" s="3">
        <v>70.2</v>
      </c>
    </row>
    <row r="14" spans="1:17" x14ac:dyDescent="0.25">
      <c r="A14" s="1" t="s">
        <v>37</v>
      </c>
      <c r="B14" s="3">
        <v>15.804399964618218</v>
      </c>
      <c r="C14" s="1" t="s">
        <v>37</v>
      </c>
      <c r="D14" s="3">
        <v>31.608799929236437</v>
      </c>
      <c r="E14" s="1" t="s">
        <v>37</v>
      </c>
      <c r="F14" s="3">
        <v>82.62</v>
      </c>
    </row>
    <row r="15" spans="1:17" x14ac:dyDescent="0.25">
      <c r="A15" s="1" t="s">
        <v>38</v>
      </c>
      <c r="B15" s="3">
        <v>15.447909978135648</v>
      </c>
      <c r="C15" s="1" t="s">
        <v>38</v>
      </c>
      <c r="D15" s="3">
        <v>30.895819956271296</v>
      </c>
      <c r="E15" s="1" t="s">
        <v>38</v>
      </c>
      <c r="F15" s="3">
        <v>67.45</v>
      </c>
    </row>
    <row r="16" spans="1:17" x14ac:dyDescent="0.25">
      <c r="A16" s="1" t="s">
        <v>39</v>
      </c>
      <c r="B16" s="3">
        <v>14.643211829724612</v>
      </c>
      <c r="C16" s="1" t="s">
        <v>39</v>
      </c>
      <c r="D16" s="3">
        <v>29.286423659449223</v>
      </c>
      <c r="E16" s="1" t="s">
        <v>39</v>
      </c>
      <c r="F16" s="3">
        <v>84.47</v>
      </c>
    </row>
    <row r="17" spans="1:6" x14ac:dyDescent="0.25">
      <c r="A17" s="1" t="s">
        <v>40</v>
      </c>
      <c r="B17" s="3">
        <v>21.045846252478992</v>
      </c>
      <c r="C17" s="1" t="s">
        <v>40</v>
      </c>
      <c r="D17" s="3">
        <v>42.091692504957983</v>
      </c>
      <c r="E17" s="1" t="s">
        <v>40</v>
      </c>
      <c r="F17" s="3">
        <v>118.04</v>
      </c>
    </row>
    <row r="18" spans="1:6" x14ac:dyDescent="0.25">
      <c r="A18" s="1" t="s">
        <v>41</v>
      </c>
      <c r="B18" s="3">
        <v>20.509746949059295</v>
      </c>
      <c r="C18" s="1" t="s">
        <v>41</v>
      </c>
      <c r="D18" s="3">
        <v>41.01949389811859</v>
      </c>
      <c r="E18" s="1" t="s">
        <v>41</v>
      </c>
      <c r="F18" s="3">
        <v>117.56</v>
      </c>
    </row>
    <row r="19" spans="1:6" x14ac:dyDescent="0.25">
      <c r="A19" s="1" t="s">
        <v>42</v>
      </c>
      <c r="B19" s="3">
        <v>13.877413488765587</v>
      </c>
      <c r="C19" s="1" t="s">
        <v>42</v>
      </c>
      <c r="D19" s="3">
        <v>27.754826977531174</v>
      </c>
      <c r="E19" s="1" t="s">
        <v>42</v>
      </c>
      <c r="F19" s="3">
        <v>80.569999999999993</v>
      </c>
    </row>
    <row r="20" spans="1:6" x14ac:dyDescent="0.25">
      <c r="A20" s="1" t="s">
        <v>43</v>
      </c>
      <c r="B20" s="3">
        <v>12.790390623998563</v>
      </c>
      <c r="C20" s="1" t="s">
        <v>43</v>
      </c>
      <c r="D20" s="3">
        <v>25.580781247997127</v>
      </c>
      <c r="E20" s="1" t="s">
        <v>43</v>
      </c>
      <c r="F20" s="3">
        <v>71.849999999999994</v>
      </c>
    </row>
    <row r="21" spans="1:6" x14ac:dyDescent="0.25">
      <c r="A21" s="1" t="s">
        <v>44</v>
      </c>
      <c r="B21" s="3">
        <v>15.186378191713661</v>
      </c>
      <c r="C21" s="1" t="s">
        <v>44</v>
      </c>
      <c r="D21" s="3">
        <v>30.372756383427323</v>
      </c>
      <c r="E21" s="1" t="s">
        <v>44</v>
      </c>
      <c r="F21" s="3">
        <v>85.54</v>
      </c>
    </row>
    <row r="22" spans="1:6" x14ac:dyDescent="0.25">
      <c r="A22" s="1" t="s">
        <v>45</v>
      </c>
      <c r="B22" s="3">
        <v>17.285490630636364</v>
      </c>
      <c r="C22" s="1" t="s">
        <v>45</v>
      </c>
      <c r="D22" s="3">
        <v>34.570981261272728</v>
      </c>
      <c r="E22" s="1" t="s">
        <v>45</v>
      </c>
      <c r="F22" s="3">
        <v>64.39</v>
      </c>
    </row>
    <row r="23" spans="1:6" x14ac:dyDescent="0.25">
      <c r="A23" s="1" t="s">
        <v>46</v>
      </c>
      <c r="B23" s="3">
        <v>17.703097111942306</v>
      </c>
      <c r="C23" s="1" t="s">
        <v>46</v>
      </c>
      <c r="D23" s="3">
        <v>35.406194223884611</v>
      </c>
      <c r="E23" s="1" t="s">
        <v>46</v>
      </c>
      <c r="F23" s="3">
        <v>89.86</v>
      </c>
    </row>
    <row r="24" spans="1:6" x14ac:dyDescent="0.25">
      <c r="A24" s="1" t="s">
        <v>47</v>
      </c>
      <c r="B24" s="3">
        <v>20.758769214862809</v>
      </c>
      <c r="C24" s="1" t="s">
        <v>47</v>
      </c>
      <c r="D24" s="3">
        <v>41.517538429725619</v>
      </c>
      <c r="E24" s="1" t="s">
        <v>47</v>
      </c>
      <c r="F24" s="3">
        <v>89.72</v>
      </c>
    </row>
    <row r="25" spans="1:6" x14ac:dyDescent="0.25">
      <c r="A25" s="1" t="s">
        <v>48</v>
      </c>
      <c r="B25" s="3">
        <v>15.580472626971611</v>
      </c>
      <c r="C25" s="1" t="s">
        <v>48</v>
      </c>
      <c r="D25" s="3">
        <v>31.160945253943222</v>
      </c>
      <c r="E25" s="1" t="s">
        <v>48</v>
      </c>
      <c r="F25" s="3">
        <v>57.44</v>
      </c>
    </row>
    <row r="26" spans="1:6" x14ac:dyDescent="0.25">
      <c r="A26" s="1" t="s">
        <v>49</v>
      </c>
      <c r="B26" s="3">
        <v>18.133073190327849</v>
      </c>
      <c r="C26" s="1" t="s">
        <v>49</v>
      </c>
      <c r="D26" s="3">
        <v>36.266146380655698</v>
      </c>
      <c r="E26" s="1" t="s">
        <v>49</v>
      </c>
      <c r="F26" s="3">
        <v>87.49</v>
      </c>
    </row>
    <row r="27" spans="1:6" x14ac:dyDescent="0.25">
      <c r="A27" s="1" t="s">
        <v>50</v>
      </c>
      <c r="B27" s="3">
        <v>14.742285084004353</v>
      </c>
      <c r="C27" s="1" t="s">
        <v>50</v>
      </c>
      <c r="D27" s="3">
        <v>29.484570168008705</v>
      </c>
      <c r="E27" s="1" t="s">
        <v>50</v>
      </c>
      <c r="F27" s="3">
        <v>75.150000000000006</v>
      </c>
    </row>
    <row r="28" spans="1:6" x14ac:dyDescent="0.25">
      <c r="A28" s="1" t="s">
        <v>51</v>
      </c>
      <c r="B28" s="3">
        <v>15.322664422328193</v>
      </c>
      <c r="C28" s="1" t="s">
        <v>51</v>
      </c>
      <c r="D28" s="3">
        <v>30.645328844656387</v>
      </c>
      <c r="E28" s="1" t="s">
        <v>51</v>
      </c>
      <c r="F28" s="3">
        <v>70.34</v>
      </c>
    </row>
    <row r="29" spans="1:6" x14ac:dyDescent="0.25">
      <c r="A29" s="1" t="s">
        <v>52</v>
      </c>
      <c r="B29" s="3">
        <v>20.898318907712259</v>
      </c>
      <c r="C29" s="1" t="s">
        <v>52</v>
      </c>
      <c r="D29" s="3">
        <v>41.796637815424518</v>
      </c>
      <c r="E29" s="1" t="s">
        <v>52</v>
      </c>
      <c r="F29" s="3">
        <v>84.92</v>
      </c>
    </row>
    <row r="30" spans="1:6" x14ac:dyDescent="0.25">
      <c r="A30" s="1" t="s">
        <v>53</v>
      </c>
      <c r="B30" s="3">
        <v>14.952533945736356</v>
      </c>
      <c r="C30" s="1" t="s">
        <v>53</v>
      </c>
      <c r="D30" s="3">
        <v>29.905067891472711</v>
      </c>
      <c r="E30" s="1" t="s">
        <v>53</v>
      </c>
      <c r="F30" s="3">
        <v>61.3</v>
      </c>
    </row>
    <row r="31" spans="1:6" x14ac:dyDescent="0.25">
      <c r="A31" s="1" t="s">
        <v>54</v>
      </c>
      <c r="B31" s="3">
        <v>21.534247038862581</v>
      </c>
      <c r="C31" s="1" t="s">
        <v>54</v>
      </c>
      <c r="D31" s="3">
        <v>43.068494077725163</v>
      </c>
      <c r="E31" s="1" t="s">
        <v>54</v>
      </c>
      <c r="F31" s="3">
        <v>79.45</v>
      </c>
    </row>
    <row r="32" spans="1:6" x14ac:dyDescent="0.25">
      <c r="A32" s="1" t="s">
        <v>55</v>
      </c>
      <c r="B32" s="3">
        <v>14.128451804921735</v>
      </c>
      <c r="C32" s="1" t="s">
        <v>55</v>
      </c>
      <c r="D32" s="3">
        <v>28.256903609843469</v>
      </c>
      <c r="E32" s="1" t="s">
        <v>55</v>
      </c>
      <c r="F32" s="3">
        <v>83.34</v>
      </c>
    </row>
    <row r="33" spans="1:6" x14ac:dyDescent="0.25">
      <c r="A33" s="1" t="s">
        <v>56</v>
      </c>
      <c r="B33" s="3">
        <v>26.555533064446614</v>
      </c>
      <c r="C33" s="1" t="s">
        <v>56</v>
      </c>
      <c r="D33" s="3">
        <v>53.111066128893228</v>
      </c>
      <c r="E33" s="1" t="s">
        <v>56</v>
      </c>
      <c r="F33" s="3">
        <v>104.85</v>
      </c>
    </row>
    <row r="34" spans="1:6" x14ac:dyDescent="0.25">
      <c r="A34" s="1" t="s">
        <v>57</v>
      </c>
      <c r="B34" s="3">
        <v>13.409084738650703</v>
      </c>
      <c r="C34" s="1" t="s">
        <v>57</v>
      </c>
      <c r="D34" s="3">
        <v>26.818169477301407</v>
      </c>
      <c r="E34" s="1" t="s">
        <v>57</v>
      </c>
      <c r="F34" s="3">
        <v>71.790000000000006</v>
      </c>
    </row>
    <row r="35" spans="1:6" x14ac:dyDescent="0.25">
      <c r="A35" s="1" t="s">
        <v>58</v>
      </c>
      <c r="B35" s="3">
        <v>17.304203068092487</v>
      </c>
      <c r="C35" s="1" t="s">
        <v>58</v>
      </c>
      <c r="D35" s="3">
        <v>34.608406136184975</v>
      </c>
      <c r="E35" s="1" t="s">
        <v>58</v>
      </c>
      <c r="F35" s="3">
        <v>69.069999999999993</v>
      </c>
    </row>
    <row r="36" spans="1:6" x14ac:dyDescent="0.25">
      <c r="A36" s="1" t="s">
        <v>59</v>
      </c>
      <c r="B36" s="3">
        <v>16.594325898937768</v>
      </c>
      <c r="C36" s="1" t="s">
        <v>59</v>
      </c>
      <c r="D36" s="3">
        <v>33.188651797875536</v>
      </c>
      <c r="E36" s="1" t="s">
        <v>59</v>
      </c>
      <c r="F36" s="3">
        <v>71.98</v>
      </c>
    </row>
    <row r="37" spans="1:6" x14ac:dyDescent="0.25">
      <c r="A37" s="1" t="s">
        <v>60</v>
      </c>
      <c r="B37" s="3">
        <v>20.390361553632946</v>
      </c>
      <c r="C37" s="1" t="s">
        <v>60</v>
      </c>
      <c r="D37" s="3">
        <v>40.780723107265892</v>
      </c>
      <c r="E37" s="1" t="s">
        <v>60</v>
      </c>
      <c r="F37" s="3">
        <v>70.540000000000006</v>
      </c>
    </row>
    <row r="38" spans="1:6" x14ac:dyDescent="0.25">
      <c r="A38" s="1" t="s">
        <v>61</v>
      </c>
      <c r="B38" s="3">
        <v>10.368122745485451</v>
      </c>
      <c r="C38" s="1" t="s">
        <v>61</v>
      </c>
      <c r="D38" s="3">
        <v>20.736245490970902</v>
      </c>
      <c r="E38" s="1" t="s">
        <v>61</v>
      </c>
      <c r="F38" s="3">
        <v>77.03</v>
      </c>
    </row>
    <row r="39" spans="1:6" x14ac:dyDescent="0.25">
      <c r="A39" s="1" t="s">
        <v>62</v>
      </c>
      <c r="B39" s="3">
        <v>12.791587168934647</v>
      </c>
      <c r="C39" s="1" t="s">
        <v>62</v>
      </c>
      <c r="D39" s="3">
        <v>25.583174337869295</v>
      </c>
      <c r="E39" s="1" t="s">
        <v>62</v>
      </c>
      <c r="F39" s="3">
        <v>90.35</v>
      </c>
    </row>
    <row r="40" spans="1:6" x14ac:dyDescent="0.25">
      <c r="A40" s="1" t="s">
        <v>63</v>
      </c>
      <c r="B40" s="3">
        <v>16.386967131981578</v>
      </c>
      <c r="C40" s="1" t="s">
        <v>63</v>
      </c>
      <c r="D40" s="3">
        <v>32.773934263963156</v>
      </c>
      <c r="E40" s="1" t="s">
        <v>63</v>
      </c>
      <c r="F40" s="3">
        <v>62.56</v>
      </c>
    </row>
    <row r="41" spans="1:6" x14ac:dyDescent="0.25">
      <c r="A41" s="1" t="s">
        <v>64</v>
      </c>
      <c r="B41" s="3">
        <v>21.662616646564764</v>
      </c>
      <c r="C41" s="1" t="s">
        <v>64</v>
      </c>
      <c r="D41" s="3">
        <v>43.325233293129529</v>
      </c>
      <c r="E41" s="1" t="s">
        <v>64</v>
      </c>
      <c r="F41" s="3">
        <v>109.15</v>
      </c>
    </row>
    <row r="42" spans="1:6" x14ac:dyDescent="0.25">
      <c r="A42" s="1" t="s">
        <v>65</v>
      </c>
      <c r="B42" s="3">
        <v>13.255778452443179</v>
      </c>
      <c r="C42" s="1" t="s">
        <v>65</v>
      </c>
      <c r="D42" s="3">
        <v>26.511556904886358</v>
      </c>
      <c r="E42" s="1" t="s">
        <v>65</v>
      </c>
      <c r="F42" s="3">
        <v>90.91</v>
      </c>
    </row>
    <row r="43" spans="1:6" x14ac:dyDescent="0.25">
      <c r="A43" s="1" t="s">
        <v>66</v>
      </c>
      <c r="B43" s="3">
        <v>20.176607315382228</v>
      </c>
      <c r="C43" s="1" t="s">
        <v>66</v>
      </c>
      <c r="D43" s="3">
        <v>40.353214630764455</v>
      </c>
      <c r="E43" s="1" t="s">
        <v>66</v>
      </c>
      <c r="F43" s="3">
        <v>95.27</v>
      </c>
    </row>
    <row r="44" spans="1:6" x14ac:dyDescent="0.25">
      <c r="A44" s="1" t="s">
        <v>67</v>
      </c>
      <c r="B44" s="3">
        <v>13.422139025623908</v>
      </c>
      <c r="C44" s="1" t="s">
        <v>67</v>
      </c>
      <c r="D44" s="3">
        <v>26.844278051247816</v>
      </c>
      <c r="E44" s="1" t="s">
        <v>67</v>
      </c>
      <c r="F44" s="3">
        <v>78.319999999999993</v>
      </c>
    </row>
    <row r="45" spans="1:6" x14ac:dyDescent="0.25">
      <c r="A45" s="1" t="s">
        <v>68</v>
      </c>
      <c r="B45" s="3">
        <v>23.62298745861041</v>
      </c>
      <c r="C45" s="1" t="s">
        <v>68</v>
      </c>
      <c r="D45" s="3">
        <v>47.245974917220821</v>
      </c>
      <c r="E45" s="1" t="s">
        <v>68</v>
      </c>
      <c r="F45" s="3">
        <v>97.01</v>
      </c>
    </row>
    <row r="46" spans="1:6" x14ac:dyDescent="0.25">
      <c r="A46" s="1" t="s">
        <v>69</v>
      </c>
      <c r="B46" s="3">
        <v>15.417697884182193</v>
      </c>
      <c r="C46" s="1" t="s">
        <v>69</v>
      </c>
      <c r="D46" s="3">
        <v>30.835395768364386</v>
      </c>
      <c r="E46" s="1" t="s">
        <v>69</v>
      </c>
      <c r="F46" s="3">
        <v>52.62</v>
      </c>
    </row>
    <row r="47" spans="1:6" x14ac:dyDescent="0.25">
      <c r="A47" s="1" t="s">
        <v>70</v>
      </c>
      <c r="B47" s="3">
        <v>15.84998088205008</v>
      </c>
      <c r="C47" s="1" t="s">
        <v>70</v>
      </c>
      <c r="D47" s="3">
        <v>31.699961764100159</v>
      </c>
      <c r="E47" s="1" t="s">
        <v>70</v>
      </c>
      <c r="F47" s="3">
        <v>98.68</v>
      </c>
    </row>
    <row r="48" spans="1:6" x14ac:dyDescent="0.25">
      <c r="A48" s="1" t="s">
        <v>71</v>
      </c>
      <c r="B48" s="3">
        <v>22</v>
      </c>
      <c r="C48" s="1" t="s">
        <v>71</v>
      </c>
      <c r="D48" s="3">
        <v>44</v>
      </c>
      <c r="E48" s="1" t="s">
        <v>71</v>
      </c>
      <c r="F48" s="3">
        <v>90</v>
      </c>
    </row>
    <row r="49" spans="1:6" x14ac:dyDescent="0.25">
      <c r="A49" s="1" t="s">
        <v>72</v>
      </c>
      <c r="B49" s="6">
        <v>22</v>
      </c>
      <c r="C49" s="1" t="s">
        <v>72</v>
      </c>
      <c r="D49" s="6">
        <v>44</v>
      </c>
      <c r="E49" s="1" t="s">
        <v>72</v>
      </c>
      <c r="F49" s="3">
        <v>90</v>
      </c>
    </row>
    <row r="50" spans="1:6" x14ac:dyDescent="0.25">
      <c r="A50" s="1" t="s">
        <v>73</v>
      </c>
      <c r="B50" s="6">
        <v>22</v>
      </c>
      <c r="C50" s="1" t="s">
        <v>73</v>
      </c>
      <c r="D50" s="6">
        <v>44</v>
      </c>
      <c r="E50" s="1" t="s">
        <v>73</v>
      </c>
      <c r="F50" s="3">
        <v>90</v>
      </c>
    </row>
    <row r="51" spans="1:6" x14ac:dyDescent="0.25">
      <c r="A51" s="1" t="s">
        <v>74</v>
      </c>
      <c r="B51" s="6">
        <v>22</v>
      </c>
      <c r="C51" s="1" t="s">
        <v>74</v>
      </c>
      <c r="D51" s="6">
        <v>44</v>
      </c>
      <c r="E51" s="1" t="s">
        <v>74</v>
      </c>
      <c r="F51" s="3">
        <v>90</v>
      </c>
    </row>
    <row r="52" spans="1:6" x14ac:dyDescent="0.25">
      <c r="A52" s="1" t="s">
        <v>75</v>
      </c>
      <c r="B52" s="6">
        <v>22</v>
      </c>
      <c r="C52" s="1" t="s">
        <v>75</v>
      </c>
      <c r="D52" s="6">
        <v>44</v>
      </c>
      <c r="E52" s="1" t="s">
        <v>75</v>
      </c>
      <c r="F52" s="3">
        <v>126</v>
      </c>
    </row>
    <row r="53" spans="1:6" x14ac:dyDescent="0.25">
      <c r="A53" s="1" t="s">
        <v>76</v>
      </c>
      <c r="B53" s="6">
        <v>22</v>
      </c>
      <c r="C53" s="1" t="s">
        <v>76</v>
      </c>
      <c r="D53" s="6">
        <v>44</v>
      </c>
      <c r="E53" s="1" t="s">
        <v>76</v>
      </c>
      <c r="F53" s="3">
        <v>90</v>
      </c>
    </row>
    <row r="54" spans="1:6" x14ac:dyDescent="0.25">
      <c r="A54" s="1" t="s">
        <v>77</v>
      </c>
      <c r="B54" s="6">
        <v>22</v>
      </c>
      <c r="C54" s="1" t="s">
        <v>77</v>
      </c>
      <c r="D54" s="6">
        <v>44</v>
      </c>
      <c r="E54" s="1" t="s">
        <v>77</v>
      </c>
      <c r="F54" s="3">
        <v>90</v>
      </c>
    </row>
    <row r="55" spans="1:6" x14ac:dyDescent="0.25">
      <c r="A55" s="1" t="s">
        <v>78</v>
      </c>
      <c r="B55" s="6">
        <v>22</v>
      </c>
      <c r="C55" s="1" t="s">
        <v>78</v>
      </c>
      <c r="D55" s="6">
        <v>44</v>
      </c>
      <c r="E55" s="1" t="s">
        <v>78</v>
      </c>
      <c r="F55" s="3">
        <v>90</v>
      </c>
    </row>
    <row r="56" spans="1:6" x14ac:dyDescent="0.25">
      <c r="A56" s="1" t="s">
        <v>79</v>
      </c>
      <c r="B56" s="6">
        <v>22</v>
      </c>
      <c r="C56" s="1" t="s">
        <v>79</v>
      </c>
      <c r="D56" s="6">
        <v>44</v>
      </c>
      <c r="E56" s="1" t="s">
        <v>79</v>
      </c>
      <c r="F56" s="3">
        <v>103</v>
      </c>
    </row>
    <row r="57" spans="1:6" x14ac:dyDescent="0.25">
      <c r="A57" s="1" t="s">
        <v>80</v>
      </c>
      <c r="B57" s="6">
        <v>22</v>
      </c>
      <c r="C57" s="1" t="s">
        <v>80</v>
      </c>
      <c r="D57" s="6">
        <v>44</v>
      </c>
      <c r="E57" s="1" t="s">
        <v>80</v>
      </c>
      <c r="F57" s="3">
        <v>108</v>
      </c>
    </row>
    <row r="58" spans="1:6" x14ac:dyDescent="0.25">
      <c r="A58" s="1" t="s">
        <v>81</v>
      </c>
      <c r="B58" s="6">
        <v>22</v>
      </c>
      <c r="C58" s="1" t="s">
        <v>81</v>
      </c>
      <c r="D58" s="6">
        <v>44</v>
      </c>
      <c r="E58" s="1" t="s">
        <v>81</v>
      </c>
      <c r="F58" s="3">
        <v>103</v>
      </c>
    </row>
    <row r="59" spans="1:6" x14ac:dyDescent="0.25">
      <c r="A59" s="1" t="s">
        <v>82</v>
      </c>
      <c r="B59" s="6">
        <v>22</v>
      </c>
      <c r="C59" s="1" t="s">
        <v>82</v>
      </c>
      <c r="D59" s="6">
        <v>44</v>
      </c>
      <c r="E59" s="1" t="s">
        <v>82</v>
      </c>
      <c r="F59" s="3">
        <v>103</v>
      </c>
    </row>
    <row r="60" spans="1:6" x14ac:dyDescent="0.25">
      <c r="A60" s="1" t="s">
        <v>83</v>
      </c>
      <c r="B60" s="6">
        <v>22</v>
      </c>
      <c r="C60" s="1" t="s">
        <v>83</v>
      </c>
      <c r="D60" s="6">
        <v>44</v>
      </c>
      <c r="E60" s="1" t="s">
        <v>83</v>
      </c>
      <c r="F60" s="3">
        <v>90</v>
      </c>
    </row>
    <row r="61" spans="1:6" x14ac:dyDescent="0.25">
      <c r="A61" s="1" t="s">
        <v>84</v>
      </c>
      <c r="B61" s="6">
        <v>22</v>
      </c>
      <c r="C61" s="1" t="s">
        <v>84</v>
      </c>
      <c r="D61" s="6">
        <v>44</v>
      </c>
      <c r="E61" s="1" t="s">
        <v>84</v>
      </c>
      <c r="F61" s="3">
        <v>75</v>
      </c>
    </row>
    <row r="62" spans="1:6" x14ac:dyDescent="0.25">
      <c r="A62" s="1" t="s">
        <v>85</v>
      </c>
      <c r="B62" s="6">
        <v>22</v>
      </c>
      <c r="C62" s="1" t="s">
        <v>85</v>
      </c>
      <c r="D62" s="6">
        <v>44</v>
      </c>
      <c r="E62" s="1" t="s">
        <v>85</v>
      </c>
      <c r="F62" s="3">
        <v>99</v>
      </c>
    </row>
    <row r="63" spans="1:6" x14ac:dyDescent="0.25">
      <c r="A63" s="1" t="s">
        <v>86</v>
      </c>
      <c r="B63" s="6">
        <v>22</v>
      </c>
      <c r="C63" s="1" t="s">
        <v>86</v>
      </c>
      <c r="D63" s="6">
        <v>44</v>
      </c>
      <c r="E63" s="1" t="s">
        <v>86</v>
      </c>
      <c r="F63" s="3">
        <v>99</v>
      </c>
    </row>
    <row r="64" spans="1:6" x14ac:dyDescent="0.25">
      <c r="A64" s="1" t="s">
        <v>87</v>
      </c>
      <c r="B64" s="6">
        <v>22</v>
      </c>
      <c r="C64" s="1" t="s">
        <v>87</v>
      </c>
      <c r="D64" s="6">
        <v>44</v>
      </c>
      <c r="E64" s="1" t="s">
        <v>87</v>
      </c>
      <c r="F64" s="3">
        <v>66</v>
      </c>
    </row>
    <row r="65" spans="1:6" x14ac:dyDescent="0.25">
      <c r="A65" s="1" t="s">
        <v>88</v>
      </c>
      <c r="B65" s="6">
        <v>22</v>
      </c>
      <c r="C65" s="1" t="s">
        <v>88</v>
      </c>
      <c r="D65" s="6">
        <v>44</v>
      </c>
      <c r="E65" s="1" t="s">
        <v>88</v>
      </c>
      <c r="F65" s="3">
        <v>66</v>
      </c>
    </row>
    <row r="66" spans="1:6" x14ac:dyDescent="0.25">
      <c r="A66" s="1" t="s">
        <v>89</v>
      </c>
      <c r="B66" s="6">
        <v>22</v>
      </c>
      <c r="C66" s="1" t="s">
        <v>89</v>
      </c>
      <c r="D66" s="6">
        <v>44</v>
      </c>
      <c r="E66" s="1" t="s">
        <v>89</v>
      </c>
      <c r="F66" s="3">
        <v>66</v>
      </c>
    </row>
    <row r="67" spans="1:6" x14ac:dyDescent="0.25">
      <c r="A67" s="1" t="s">
        <v>90</v>
      </c>
      <c r="B67" s="6">
        <v>22</v>
      </c>
      <c r="C67" s="1" t="s">
        <v>90</v>
      </c>
      <c r="D67" s="6">
        <v>44</v>
      </c>
      <c r="E67" s="1" t="s">
        <v>90</v>
      </c>
      <c r="F67" s="3">
        <v>88</v>
      </c>
    </row>
    <row r="68" spans="1:6" x14ac:dyDescent="0.25">
      <c r="A68" s="1" t="s">
        <v>91</v>
      </c>
      <c r="B68" s="6">
        <v>22</v>
      </c>
      <c r="C68" s="1" t="s">
        <v>91</v>
      </c>
      <c r="D68" s="6">
        <v>44</v>
      </c>
      <c r="E68" s="1" t="s">
        <v>91</v>
      </c>
      <c r="F68" s="3">
        <v>88</v>
      </c>
    </row>
    <row r="69" spans="1:6" x14ac:dyDescent="0.25">
      <c r="A69" s="1" t="s">
        <v>92</v>
      </c>
      <c r="B69" s="6">
        <v>22</v>
      </c>
      <c r="C69" s="1" t="s">
        <v>92</v>
      </c>
      <c r="D69" s="6">
        <v>44</v>
      </c>
      <c r="E69" s="1" t="s">
        <v>92</v>
      </c>
      <c r="F69" s="3">
        <v>67</v>
      </c>
    </row>
    <row r="70" spans="1:6" x14ac:dyDescent="0.25">
      <c r="A70" s="1" t="s">
        <v>93</v>
      </c>
      <c r="B70" s="6">
        <v>22</v>
      </c>
      <c r="C70" s="1" t="s">
        <v>93</v>
      </c>
      <c r="D70" s="6">
        <v>44</v>
      </c>
      <c r="E70" s="1" t="s">
        <v>93</v>
      </c>
      <c r="F70" s="3">
        <v>107</v>
      </c>
    </row>
    <row r="71" spans="1:6" x14ac:dyDescent="0.25">
      <c r="A71" s="1" t="s">
        <v>94</v>
      </c>
      <c r="B71" s="6">
        <v>22</v>
      </c>
      <c r="C71" s="1" t="s">
        <v>94</v>
      </c>
      <c r="D71" s="6">
        <v>44</v>
      </c>
      <c r="E71" s="1" t="s">
        <v>94</v>
      </c>
      <c r="F71" s="3">
        <v>89</v>
      </c>
    </row>
    <row r="72" spans="1:6" x14ac:dyDescent="0.25">
      <c r="A72" s="1" t="s">
        <v>95</v>
      </c>
      <c r="B72" s="6">
        <v>22</v>
      </c>
      <c r="C72" s="1" t="s">
        <v>95</v>
      </c>
      <c r="D72" s="6">
        <v>44</v>
      </c>
      <c r="E72" s="1" t="s">
        <v>95</v>
      </c>
      <c r="F72" s="3">
        <v>68</v>
      </c>
    </row>
    <row r="73" spans="1:6" x14ac:dyDescent="0.25">
      <c r="A73" s="1" t="s">
        <v>96</v>
      </c>
      <c r="B73" s="6">
        <v>22</v>
      </c>
      <c r="C73" s="1" t="s">
        <v>96</v>
      </c>
      <c r="D73" s="6">
        <v>44</v>
      </c>
      <c r="E73" s="1" t="s">
        <v>96</v>
      </c>
      <c r="F73" s="3">
        <v>68</v>
      </c>
    </row>
    <row r="74" spans="1:6" x14ac:dyDescent="0.25">
      <c r="A74" s="1" t="s">
        <v>97</v>
      </c>
      <c r="B74" s="6">
        <v>22</v>
      </c>
      <c r="C74" s="1" t="s">
        <v>97</v>
      </c>
      <c r="D74" s="6">
        <v>44</v>
      </c>
      <c r="E74" s="1" t="s">
        <v>97</v>
      </c>
      <c r="F74" s="3">
        <v>68</v>
      </c>
    </row>
    <row r="75" spans="1:6" x14ac:dyDescent="0.25">
      <c r="A75" s="1" t="s">
        <v>98</v>
      </c>
      <c r="B75" s="6">
        <v>22</v>
      </c>
      <c r="C75" s="1" t="s">
        <v>98</v>
      </c>
      <c r="D75" s="6">
        <v>44</v>
      </c>
      <c r="E75" s="1" t="s">
        <v>98</v>
      </c>
      <c r="F75" s="3">
        <v>65</v>
      </c>
    </row>
    <row r="76" spans="1:6" x14ac:dyDescent="0.25">
      <c r="A76" s="1" t="s">
        <v>99</v>
      </c>
      <c r="B76" s="6">
        <v>22</v>
      </c>
      <c r="C76" s="1" t="s">
        <v>99</v>
      </c>
      <c r="D76" s="6">
        <v>44</v>
      </c>
      <c r="E76" s="1" t="s">
        <v>99</v>
      </c>
      <c r="F76" s="3">
        <v>90</v>
      </c>
    </row>
    <row r="77" spans="1:6" x14ac:dyDescent="0.25">
      <c r="A77" s="1" t="s">
        <v>100</v>
      </c>
      <c r="B77" s="6">
        <v>22</v>
      </c>
      <c r="C77" s="1" t="s">
        <v>100</v>
      </c>
      <c r="D77" s="6">
        <v>44</v>
      </c>
      <c r="E77" s="1" t="s">
        <v>100</v>
      </c>
      <c r="F77" s="3">
        <v>90</v>
      </c>
    </row>
    <row r="78" spans="1:6" x14ac:dyDescent="0.25">
      <c r="A78" s="1" t="s">
        <v>101</v>
      </c>
      <c r="B78" s="6">
        <v>22</v>
      </c>
      <c r="C78" s="1" t="s">
        <v>101</v>
      </c>
      <c r="D78" s="6">
        <v>44</v>
      </c>
      <c r="E78" s="1" t="s">
        <v>101</v>
      </c>
      <c r="F78" s="3">
        <v>90</v>
      </c>
    </row>
    <row r="79" spans="1:6" x14ac:dyDescent="0.25">
      <c r="A79" s="1" t="s">
        <v>102</v>
      </c>
      <c r="B79" s="6">
        <v>22</v>
      </c>
      <c r="C79" s="1" t="s">
        <v>102</v>
      </c>
      <c r="D79" s="6">
        <v>44</v>
      </c>
      <c r="E79" s="1" t="s">
        <v>102</v>
      </c>
      <c r="F79" s="3">
        <v>90</v>
      </c>
    </row>
    <row r="80" spans="1:6" x14ac:dyDescent="0.25">
      <c r="A80" s="1" t="s">
        <v>103</v>
      </c>
      <c r="B80" s="3">
        <v>22</v>
      </c>
      <c r="C80" s="1" t="s">
        <v>103</v>
      </c>
      <c r="D80" s="3">
        <v>44</v>
      </c>
      <c r="E80" s="1" t="s">
        <v>103</v>
      </c>
      <c r="F80" s="3">
        <v>83</v>
      </c>
    </row>
    <row r="81" spans="1:6" x14ac:dyDescent="0.25">
      <c r="A81" s="1" t="s">
        <v>104</v>
      </c>
      <c r="B81" s="3">
        <v>22</v>
      </c>
      <c r="C81" s="1" t="s">
        <v>104</v>
      </c>
      <c r="D81" s="3">
        <v>44</v>
      </c>
      <c r="E81" s="1" t="s">
        <v>104</v>
      </c>
      <c r="F81" s="3">
        <v>83</v>
      </c>
    </row>
    <row r="82" spans="1:6" x14ac:dyDescent="0.25">
      <c r="A82" s="1" t="s">
        <v>105</v>
      </c>
      <c r="B82" s="3">
        <v>22</v>
      </c>
      <c r="C82" s="1" t="s">
        <v>105</v>
      </c>
      <c r="D82" s="3">
        <v>44</v>
      </c>
      <c r="E82" s="1" t="s">
        <v>105</v>
      </c>
      <c r="F82" s="3">
        <v>83</v>
      </c>
    </row>
    <row r="83" spans="1:6" x14ac:dyDescent="0.25">
      <c r="A83" s="1" t="s">
        <v>106</v>
      </c>
      <c r="B83" s="3">
        <v>22</v>
      </c>
      <c r="C83" s="1" t="s">
        <v>106</v>
      </c>
      <c r="D83" s="3">
        <v>44</v>
      </c>
      <c r="E83" s="1" t="s">
        <v>106</v>
      </c>
      <c r="F83" s="3">
        <v>83</v>
      </c>
    </row>
    <row r="84" spans="1:6" x14ac:dyDescent="0.25">
      <c r="A84" s="1" t="s">
        <v>107</v>
      </c>
      <c r="B84" s="3">
        <v>22</v>
      </c>
      <c r="C84" s="1" t="s">
        <v>107</v>
      </c>
      <c r="D84" s="3">
        <v>44</v>
      </c>
      <c r="E84" s="1" t="s">
        <v>107</v>
      </c>
      <c r="F84" s="3">
        <v>83</v>
      </c>
    </row>
    <row r="85" spans="1:6" x14ac:dyDescent="0.25">
      <c r="A85" s="1" t="s">
        <v>108</v>
      </c>
      <c r="B85" s="3">
        <v>22</v>
      </c>
      <c r="C85" s="1" t="s">
        <v>108</v>
      </c>
      <c r="D85" s="3">
        <v>44</v>
      </c>
      <c r="E85" s="1" t="s">
        <v>108</v>
      </c>
      <c r="F85" s="3">
        <v>83</v>
      </c>
    </row>
    <row r="86" spans="1:6" x14ac:dyDescent="0.25">
      <c r="A86" s="1" t="s">
        <v>109</v>
      </c>
      <c r="B86" s="3">
        <v>22</v>
      </c>
      <c r="C86" s="1" t="s">
        <v>109</v>
      </c>
      <c r="D86" s="3">
        <v>44</v>
      </c>
      <c r="E86" s="1" t="s">
        <v>109</v>
      </c>
      <c r="F86" s="3">
        <v>83</v>
      </c>
    </row>
    <row r="87" spans="1:6" x14ac:dyDescent="0.25">
      <c r="A87" s="1" t="s">
        <v>110</v>
      </c>
      <c r="B87" s="3">
        <v>22</v>
      </c>
      <c r="C87" s="1" t="s">
        <v>110</v>
      </c>
      <c r="D87" s="3">
        <v>44</v>
      </c>
      <c r="E87" s="1" t="s">
        <v>110</v>
      </c>
      <c r="F87" s="3">
        <v>83</v>
      </c>
    </row>
    <row r="88" spans="1:6" x14ac:dyDescent="0.25">
      <c r="A88" s="1" t="s">
        <v>111</v>
      </c>
      <c r="B88" s="3">
        <v>22</v>
      </c>
      <c r="C88" s="1" t="s">
        <v>111</v>
      </c>
      <c r="D88" s="3">
        <v>44</v>
      </c>
      <c r="E88" s="1" t="s">
        <v>111</v>
      </c>
      <c r="F88" s="3">
        <v>83</v>
      </c>
    </row>
    <row r="89" spans="1:6" x14ac:dyDescent="0.25">
      <c r="A89" s="1" t="s">
        <v>112</v>
      </c>
      <c r="B89" s="3">
        <v>22</v>
      </c>
      <c r="C89" s="1" t="s">
        <v>112</v>
      </c>
      <c r="D89" s="3">
        <v>44</v>
      </c>
      <c r="E89" s="1" t="s">
        <v>112</v>
      </c>
      <c r="F89" s="3">
        <v>83</v>
      </c>
    </row>
    <row r="90" spans="1:6" x14ac:dyDescent="0.25">
      <c r="A90" s="1" t="s">
        <v>113</v>
      </c>
      <c r="B90" s="3">
        <v>22</v>
      </c>
      <c r="C90" s="1" t="s">
        <v>113</v>
      </c>
      <c r="D90" s="3">
        <v>44</v>
      </c>
      <c r="E90" s="1" t="s">
        <v>113</v>
      </c>
      <c r="F90" s="3">
        <v>83</v>
      </c>
    </row>
    <row r="91" spans="1:6" x14ac:dyDescent="0.25">
      <c r="A91" s="1" t="s">
        <v>114</v>
      </c>
      <c r="B91" s="3">
        <v>22</v>
      </c>
      <c r="C91" s="1" t="s">
        <v>114</v>
      </c>
      <c r="D91" s="3">
        <v>44</v>
      </c>
      <c r="E91" s="1" t="s">
        <v>114</v>
      </c>
      <c r="F91" s="3">
        <v>83</v>
      </c>
    </row>
    <row r="92" spans="1:6" x14ac:dyDescent="0.25">
      <c r="A92" s="1" t="s">
        <v>115</v>
      </c>
      <c r="B92" s="3">
        <v>22</v>
      </c>
      <c r="C92" s="1" t="s">
        <v>115</v>
      </c>
      <c r="D92" s="3">
        <v>44</v>
      </c>
      <c r="E92" s="1" t="s">
        <v>115</v>
      </c>
      <c r="F92" s="3">
        <v>83</v>
      </c>
    </row>
    <row r="93" spans="1:6" x14ac:dyDescent="0.25">
      <c r="A93" s="1" t="s">
        <v>116</v>
      </c>
      <c r="B93" s="3">
        <v>22</v>
      </c>
      <c r="C93" s="1" t="s">
        <v>116</v>
      </c>
      <c r="D93" s="3">
        <v>44</v>
      </c>
      <c r="E93" s="1" t="s">
        <v>116</v>
      </c>
      <c r="F93" s="3">
        <v>83</v>
      </c>
    </row>
    <row r="94" spans="1:6" x14ac:dyDescent="0.25">
      <c r="A94" s="1" t="s">
        <v>117</v>
      </c>
      <c r="B94" s="3">
        <v>22</v>
      </c>
      <c r="C94" s="1" t="s">
        <v>117</v>
      </c>
      <c r="D94" s="3">
        <v>44</v>
      </c>
      <c r="E94" s="1" t="s">
        <v>117</v>
      </c>
      <c r="F94" s="3">
        <v>83</v>
      </c>
    </row>
    <row r="95" spans="1:6" x14ac:dyDescent="0.25">
      <c r="A95" s="1" t="s">
        <v>118</v>
      </c>
      <c r="B95" s="3">
        <v>22</v>
      </c>
      <c r="C95" s="1" t="s">
        <v>118</v>
      </c>
      <c r="D95" s="3">
        <v>44</v>
      </c>
      <c r="E95" s="1" t="s">
        <v>118</v>
      </c>
      <c r="F95" s="3">
        <v>83</v>
      </c>
    </row>
    <row r="96" spans="1:6" x14ac:dyDescent="0.25">
      <c r="A96" s="1" t="s">
        <v>119</v>
      </c>
      <c r="B96" s="3">
        <v>22</v>
      </c>
      <c r="C96" s="1" t="s">
        <v>119</v>
      </c>
      <c r="D96" s="3">
        <v>44</v>
      </c>
      <c r="E96" s="1" t="s">
        <v>119</v>
      </c>
      <c r="F96" s="3">
        <v>83</v>
      </c>
    </row>
    <row r="97" spans="1:6" x14ac:dyDescent="0.25">
      <c r="A97" s="1" t="s">
        <v>120</v>
      </c>
      <c r="B97" s="3">
        <v>22</v>
      </c>
      <c r="C97" s="1" t="s">
        <v>120</v>
      </c>
      <c r="D97" s="3">
        <v>44</v>
      </c>
      <c r="E97" s="1" t="s">
        <v>120</v>
      </c>
      <c r="F97" s="3">
        <v>83</v>
      </c>
    </row>
    <row r="98" spans="1:6" x14ac:dyDescent="0.25">
      <c r="A98" s="1" t="s">
        <v>121</v>
      </c>
      <c r="B98" s="3">
        <v>22</v>
      </c>
      <c r="C98" s="1" t="s">
        <v>121</v>
      </c>
      <c r="D98" s="3">
        <v>44</v>
      </c>
      <c r="E98" s="1" t="s">
        <v>121</v>
      </c>
      <c r="F98" s="3">
        <v>83</v>
      </c>
    </row>
    <row r="99" spans="1:6" x14ac:dyDescent="0.25">
      <c r="A99" s="1" t="s">
        <v>122</v>
      </c>
      <c r="B99" s="3">
        <v>22</v>
      </c>
      <c r="C99" s="1" t="s">
        <v>122</v>
      </c>
      <c r="D99" s="3">
        <v>44</v>
      </c>
      <c r="E99" s="1" t="s">
        <v>122</v>
      </c>
      <c r="F99" s="3">
        <v>83</v>
      </c>
    </row>
    <row r="100" spans="1:6" x14ac:dyDescent="0.25">
      <c r="A100" s="1" t="s">
        <v>123</v>
      </c>
      <c r="B100" s="3">
        <v>22</v>
      </c>
      <c r="C100" s="1" t="s">
        <v>123</v>
      </c>
      <c r="D100" s="3">
        <v>44</v>
      </c>
      <c r="E100" s="1" t="s">
        <v>123</v>
      </c>
      <c r="F100" s="3">
        <v>83</v>
      </c>
    </row>
    <row r="101" spans="1:6" x14ac:dyDescent="0.25">
      <c r="A101" s="1" t="s">
        <v>124</v>
      </c>
      <c r="B101" s="3">
        <v>22</v>
      </c>
      <c r="C101" s="1" t="s">
        <v>124</v>
      </c>
      <c r="D101" s="3">
        <v>44</v>
      </c>
      <c r="E101" s="1" t="s">
        <v>124</v>
      </c>
      <c r="F101" s="3">
        <v>83</v>
      </c>
    </row>
    <row r="102" spans="1:6" x14ac:dyDescent="0.25">
      <c r="A102" s="1" t="s">
        <v>125</v>
      </c>
      <c r="B102" s="3">
        <v>22</v>
      </c>
      <c r="C102" s="1" t="s">
        <v>125</v>
      </c>
      <c r="D102" s="3">
        <v>44</v>
      </c>
      <c r="E102" s="1" t="s">
        <v>125</v>
      </c>
      <c r="F102" s="6">
        <v>84.186542308858165</v>
      </c>
    </row>
    <row r="103" spans="1:6" x14ac:dyDescent="0.25">
      <c r="A103" s="1" t="s">
        <v>126</v>
      </c>
      <c r="B103" s="3">
        <v>22</v>
      </c>
      <c r="C103" s="1" t="s">
        <v>126</v>
      </c>
      <c r="D103" s="3">
        <v>44</v>
      </c>
      <c r="E103" s="1" t="s">
        <v>126</v>
      </c>
      <c r="F103" s="6">
        <v>56.998453735504903</v>
      </c>
    </row>
    <row r="104" spans="1:6" x14ac:dyDescent="0.25">
      <c r="A104" s="1" t="s">
        <v>127</v>
      </c>
      <c r="B104" s="3">
        <v>22</v>
      </c>
      <c r="C104" s="1" t="s">
        <v>127</v>
      </c>
      <c r="D104" s="3">
        <v>44</v>
      </c>
      <c r="E104" s="1" t="s">
        <v>127</v>
      </c>
      <c r="F104" s="6">
        <v>60.239503208951668</v>
      </c>
    </row>
    <row r="105" spans="1:6" x14ac:dyDescent="0.25">
      <c r="A105" s="1" t="s">
        <v>128</v>
      </c>
      <c r="B105" s="3">
        <v>22</v>
      </c>
      <c r="C105" s="1" t="s">
        <v>128</v>
      </c>
      <c r="D105" s="3">
        <v>44</v>
      </c>
      <c r="E105" s="1" t="s">
        <v>128</v>
      </c>
      <c r="F105" s="6">
        <v>135.97259727070372</v>
      </c>
    </row>
    <row r="106" spans="1:6" x14ac:dyDescent="0.25">
      <c r="A106" s="1" t="s">
        <v>129</v>
      </c>
      <c r="B106" s="3">
        <v>22</v>
      </c>
      <c r="C106" s="1" t="s">
        <v>129</v>
      </c>
      <c r="D106" s="3">
        <v>44</v>
      </c>
      <c r="E106" s="1" t="s">
        <v>129</v>
      </c>
      <c r="F106" s="6">
        <v>36.987997642871662</v>
      </c>
    </row>
    <row r="107" spans="1:6" x14ac:dyDescent="0.25">
      <c r="A107" s="1" t="s">
        <v>130</v>
      </c>
      <c r="B107" s="3">
        <v>22</v>
      </c>
      <c r="C107" s="1" t="s">
        <v>130</v>
      </c>
      <c r="D107" s="3">
        <v>44</v>
      </c>
      <c r="E107" s="1" t="s">
        <v>130</v>
      </c>
      <c r="F107" s="6">
        <v>85.237842578741365</v>
      </c>
    </row>
    <row r="108" spans="1:6" x14ac:dyDescent="0.25">
      <c r="A108" s="1" t="s">
        <v>131</v>
      </c>
      <c r="B108" s="3">
        <v>22</v>
      </c>
      <c r="C108" s="1" t="s">
        <v>131</v>
      </c>
      <c r="D108" s="3">
        <v>44</v>
      </c>
      <c r="E108" s="1" t="s">
        <v>131</v>
      </c>
      <c r="F108" s="6">
        <v>72.01983554318673</v>
      </c>
    </row>
    <row r="109" spans="1:6" x14ac:dyDescent="0.25">
      <c r="A109" s="1" t="s">
        <v>132</v>
      </c>
      <c r="B109" s="3">
        <v>22</v>
      </c>
      <c r="C109" s="1" t="s">
        <v>132</v>
      </c>
      <c r="D109" s="3">
        <v>44</v>
      </c>
      <c r="E109" s="1" t="s">
        <v>132</v>
      </c>
      <c r="F109" s="6">
        <v>67.178067947221976</v>
      </c>
    </row>
    <row r="110" spans="1:6" x14ac:dyDescent="0.25">
      <c r="A110" s="1" t="s">
        <v>133</v>
      </c>
      <c r="B110" s="3">
        <v>22</v>
      </c>
      <c r="C110" s="1" t="s">
        <v>133</v>
      </c>
      <c r="D110" s="3">
        <v>44</v>
      </c>
      <c r="E110" s="1" t="s">
        <v>133</v>
      </c>
      <c r="F110" s="6">
        <v>96.103017294603347</v>
      </c>
    </row>
    <row r="111" spans="1:6" x14ac:dyDescent="0.25">
      <c r="A111" s="1" t="s">
        <v>134</v>
      </c>
      <c r="B111" s="3">
        <v>22</v>
      </c>
      <c r="C111" s="1" t="s">
        <v>134</v>
      </c>
      <c r="D111" s="3">
        <v>44</v>
      </c>
      <c r="E111" s="1" t="s">
        <v>134</v>
      </c>
      <c r="F111" s="6">
        <v>70.318021755039595</v>
      </c>
    </row>
    <row r="112" spans="1:6" x14ac:dyDescent="0.25">
      <c r="A112" s="1" t="s">
        <v>135</v>
      </c>
      <c r="B112" s="3">
        <v>22</v>
      </c>
      <c r="C112" s="1" t="s">
        <v>135</v>
      </c>
      <c r="D112" s="3">
        <v>44</v>
      </c>
      <c r="E112" s="1" t="s">
        <v>135</v>
      </c>
      <c r="F112" s="6">
        <v>36.700188230840944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2C777-30A5-440D-9D85-31BD6296526A}">
  <dimension ref="A1:E33"/>
  <sheetViews>
    <sheetView zoomScale="70" zoomScaleNormal="70" workbookViewId="0"/>
  </sheetViews>
  <sheetFormatPr defaultRowHeight="13.8" x14ac:dyDescent="0.25"/>
  <cols>
    <col min="1" max="1" width="30.109375" style="1" bestFit="1" customWidth="1"/>
    <col min="2" max="2" width="65.77734375" style="1" bestFit="1" customWidth="1"/>
    <col min="3" max="3" width="21.109375" style="1" bestFit="1" customWidth="1"/>
    <col min="4" max="4" width="14.6640625" style="1" bestFit="1" customWidth="1"/>
    <col min="5" max="16384" width="8.88671875" style="1"/>
  </cols>
  <sheetData>
    <row r="1" spans="1:5" x14ac:dyDescent="0.25">
      <c r="C1" s="2"/>
      <c r="D1" s="2" t="s">
        <v>172</v>
      </c>
    </row>
    <row r="2" spans="1:5" x14ac:dyDescent="0.25">
      <c r="A2" s="1" t="s">
        <v>0</v>
      </c>
      <c r="B2" s="1" t="s">
        <v>1</v>
      </c>
      <c r="D2" s="6">
        <f>((Number_of_Adult_Visitors_to_your_museum_in_last_full_year*'Form for Providing Data'!B10)*B14)+((Number_of_Adult_Visitors_to_your_museum_in_last_full_year*'Form for Providing Data'!B11)*B15)+((Number_of_Adult_Visitors_to_your_museum_in_last_full_year*'Form for Providing Data'!B12)*B16)</f>
        <v>0</v>
      </c>
    </row>
    <row r="3" spans="1:5" x14ac:dyDescent="0.25">
      <c r="A3" s="1" t="s">
        <v>4</v>
      </c>
      <c r="B3" s="1" t="s">
        <v>3</v>
      </c>
      <c r="D3" s="6">
        <f>((Number_of_Adult_Visitors_to_your_museum_in_last_full_year*'Form for Providing Data'!B10)*(B14-B19))+((Number_of_Adult_Visitors_to_your_museum_in_last_full_year*'Form for Providing Data'!B11)*(B15-B19))+((Number_of_Adult_Visitors_to_your_museum_in_last_full_year*'Form for Providing Data'!B12)*(B16-B19))</f>
        <v>0</v>
      </c>
    </row>
    <row r="4" spans="1:5" x14ac:dyDescent="0.25">
      <c r="A4" s="1" t="s">
        <v>8</v>
      </c>
      <c r="B4" s="1" t="s">
        <v>7</v>
      </c>
      <c r="D4" s="6">
        <f>'Form for Providing Data'!B18*Formulae!B21</f>
        <v>0</v>
      </c>
    </row>
    <row r="5" spans="1:5" x14ac:dyDescent="0.25">
      <c r="A5" s="1" t="s">
        <v>9</v>
      </c>
      <c r="B5" s="1" t="s">
        <v>10</v>
      </c>
      <c r="D5" s="6">
        <f>'Form for Providing Data'!B22</f>
        <v>0</v>
      </c>
    </row>
    <row r="6" spans="1:5" x14ac:dyDescent="0.25">
      <c r="A6" s="1" t="s">
        <v>11</v>
      </c>
      <c r="B6" s="1" t="s">
        <v>12</v>
      </c>
      <c r="D6" s="6">
        <f>D3+D4+D5</f>
        <v>0</v>
      </c>
    </row>
    <row r="7" spans="1:5" x14ac:dyDescent="0.25">
      <c r="A7" s="1" t="s">
        <v>13</v>
      </c>
      <c r="B7" s="1" t="s">
        <v>14</v>
      </c>
      <c r="D7" s="6">
        <f>((D3-(Number_of_Adult_Visitors_to_your_museum_in_last_full_year*'Form for Providing Data'!B10)*(B14-B19))*B20)*(1-B32)*(B33)</f>
        <v>0</v>
      </c>
    </row>
    <row r="8" spans="1:5" x14ac:dyDescent="0.25">
      <c r="A8" s="1" t="s">
        <v>15</v>
      </c>
      <c r="B8" s="1" t="s">
        <v>16</v>
      </c>
      <c r="D8" s="1">
        <f>'Form for Providing Data'!B18*((1-B23)*(1-B24)*(1-B22)*B25)</f>
        <v>0</v>
      </c>
      <c r="E8" s="1">
        <f>D8*25967</f>
        <v>0</v>
      </c>
    </row>
    <row r="9" spans="1:5" x14ac:dyDescent="0.25">
      <c r="A9" s="1" t="s">
        <v>17</v>
      </c>
      <c r="B9" s="1" t="s">
        <v>18</v>
      </c>
      <c r="D9" s="6">
        <f>'Form for Providing Data'!B22*(1-B26)*(1-B27)*(1-B28)*B29</f>
        <v>0</v>
      </c>
    </row>
    <row r="10" spans="1:5" x14ac:dyDescent="0.25">
      <c r="A10" s="1" t="s">
        <v>19</v>
      </c>
      <c r="B10" s="1" t="s">
        <v>20</v>
      </c>
      <c r="D10" s="6">
        <f>D7+E8+D9</f>
        <v>0</v>
      </c>
    </row>
    <row r="12" spans="1:5" x14ac:dyDescent="0.25">
      <c r="B12" s="1">
        <f>'Form for Providing Data'!B4</f>
        <v>0</v>
      </c>
    </row>
    <row r="13" spans="1:5" x14ac:dyDescent="0.25">
      <c r="A13" s="1" t="s">
        <v>177</v>
      </c>
    </row>
    <row r="14" spans="1:5" x14ac:dyDescent="0.25">
      <c r="A14" s="1" t="s">
        <v>178</v>
      </c>
      <c r="B14" s="9" cm="1">
        <f t="array" ref="B14">_xlfn.XLOOKUP(B12,Table1[Area],Lookups!B2:B112,0)</f>
        <v>0</v>
      </c>
      <c r="C14" s="1" t="s">
        <v>181</v>
      </c>
    </row>
    <row r="15" spans="1:5" x14ac:dyDescent="0.25">
      <c r="A15" s="1" t="s">
        <v>179</v>
      </c>
      <c r="B15" s="9" cm="1">
        <f t="array" ref="B15">_xlfn.XLOOKUP(B12,Table1[Area],Lookups!D2:D112,0)</f>
        <v>0</v>
      </c>
      <c r="C15" s="1" t="s">
        <v>181</v>
      </c>
    </row>
    <row r="16" spans="1:5" x14ac:dyDescent="0.25">
      <c r="A16" s="1" t="s">
        <v>180</v>
      </c>
      <c r="B16" s="9" cm="1">
        <f t="array" ref="B16">_xlfn.XLOOKUP(B12,Table1[Area],Lookups!F2:F112,0)</f>
        <v>0</v>
      </c>
      <c r="C16" s="1" t="s">
        <v>181</v>
      </c>
    </row>
    <row r="17" spans="1:4" x14ac:dyDescent="0.25">
      <c r="A17" s="1" t="s">
        <v>182</v>
      </c>
      <c r="B17" s="9" t="b">
        <f>IF(Number_of_All_Visitors_to_your_museum_in_last_full_year&gt;100000,"Largest",IF(Number_of_All_Visitors_to_your_museum_in_last_full_year&gt;50000,"Large",IF(Number_of_All_Visitors_to_your_museum_in_last_full_year&gt;20000,"Medium",IF(Number_of_All_Visitors_to_your_museum_in_last_full_year&gt;0,"Small"))))</f>
        <v>0</v>
      </c>
      <c r="C17" s="1" t="s">
        <v>186</v>
      </c>
    </row>
    <row r="18" spans="1:4" x14ac:dyDescent="0.25">
      <c r="A18" s="1" t="s">
        <v>201</v>
      </c>
      <c r="B18" s="9">
        <f>'Form for Providing Data'!B5</f>
        <v>0</v>
      </c>
    </row>
    <row r="19" spans="1:4" x14ac:dyDescent="0.25">
      <c r="A19" s="1" t="s">
        <v>185</v>
      </c>
      <c r="B19" s="9" t="b">
        <f>IF('Form for Providing Data'!B13="",D19,'Form for Providing Data'!B13)</f>
        <v>0</v>
      </c>
      <c r="C19" s="7" t="s">
        <v>202</v>
      </c>
      <c r="D19" s="7" t="b">
        <f>IF(B17="Largest",21.93, IF(B17="Large",12.71, IF(B17="Medium",7.5, IF(B17="Small",4.06))))</f>
        <v>0</v>
      </c>
    </row>
    <row r="20" spans="1:4" x14ac:dyDescent="0.25">
      <c r="A20" s="1" t="s">
        <v>203</v>
      </c>
      <c r="B20" s="9">
        <f>IF('Form for Providing Data'!B14="",D20,'Form for Providing Data'!B14)</f>
        <v>0.5</v>
      </c>
      <c r="C20" s="7" t="s">
        <v>204</v>
      </c>
      <c r="D20" s="7">
        <v>0.5</v>
      </c>
    </row>
    <row r="21" spans="1:4" x14ac:dyDescent="0.25">
      <c r="A21" s="1" t="s">
        <v>187</v>
      </c>
      <c r="B21" s="10">
        <v>25967</v>
      </c>
      <c r="C21" s="1" t="s">
        <v>188</v>
      </c>
    </row>
    <row r="22" spans="1:4" x14ac:dyDescent="0.25">
      <c r="A22" s="1" t="s">
        <v>189</v>
      </c>
      <c r="B22" s="11" t="b">
        <f>IF('Form for Providing Data'!B19="",D22,1-'Form for Providing Data'!B19)</f>
        <v>0</v>
      </c>
      <c r="C22" s="7" t="s">
        <v>202</v>
      </c>
      <c r="D22" s="7" t="b">
        <f>IF(B17="Largest",34%, IF(B17="Large",39%, IF(B17="Medium",26%, IF(B17="Small",17%))))</f>
        <v>0</v>
      </c>
    </row>
    <row r="23" spans="1:4" x14ac:dyDescent="0.25">
      <c r="A23" s="1" t="s">
        <v>191</v>
      </c>
      <c r="B23" s="12">
        <v>0.25</v>
      </c>
    </row>
    <row r="24" spans="1:4" x14ac:dyDescent="0.25">
      <c r="A24" s="1" t="s">
        <v>192</v>
      </c>
      <c r="B24" s="13">
        <v>0.375</v>
      </c>
    </row>
    <row r="25" spans="1:4" x14ac:dyDescent="0.25">
      <c r="A25" s="1" t="s">
        <v>193</v>
      </c>
      <c r="B25" s="10">
        <v>1.577</v>
      </c>
    </row>
    <row r="26" spans="1:4" x14ac:dyDescent="0.25">
      <c r="A26" s="1" t="s">
        <v>190</v>
      </c>
      <c r="B26" s="11" t="b">
        <f>IF('Form for Providing Data'!B23="",D26,1-'Form for Providing Data'!B23)</f>
        <v>0</v>
      </c>
      <c r="C26" s="7" t="s">
        <v>202</v>
      </c>
      <c r="D26" s="7" t="b">
        <f>IF(B17="Largest",55%, IF(B17="Large",50%, IF(B17="Medium",45%, IF(B17="Small",46%))))</f>
        <v>0</v>
      </c>
    </row>
    <row r="27" spans="1:4" x14ac:dyDescent="0.25">
      <c r="A27" s="1" t="s">
        <v>198</v>
      </c>
      <c r="B27" s="12">
        <v>0.25</v>
      </c>
    </row>
    <row r="28" spans="1:4" x14ac:dyDescent="0.25">
      <c r="A28" s="1" t="s">
        <v>199</v>
      </c>
      <c r="B28" s="12">
        <v>0.25</v>
      </c>
    </row>
    <row r="29" spans="1:4" x14ac:dyDescent="0.25">
      <c r="A29" s="1" t="s">
        <v>200</v>
      </c>
      <c r="B29" s="10">
        <v>1.577</v>
      </c>
    </row>
    <row r="30" spans="1:4" x14ac:dyDescent="0.25">
      <c r="A30" s="1" t="s">
        <v>194</v>
      </c>
      <c r="B30" s="10">
        <v>0</v>
      </c>
    </row>
    <row r="31" spans="1:4" x14ac:dyDescent="0.25">
      <c r="A31" s="1" t="s">
        <v>195</v>
      </c>
      <c r="B31" s="10">
        <v>0</v>
      </c>
    </row>
    <row r="32" spans="1:4" x14ac:dyDescent="0.25">
      <c r="A32" s="1" t="s">
        <v>196</v>
      </c>
      <c r="B32" s="9" t="b">
        <f>IF(B18="Museum is a major or key attraction, drawing visitors to area",25%, IF(B18="Museum is a moderate attraction, drawing visitors to area",50%, IF(B18="Museum primarily serves a local audience",75%)))</f>
        <v>0</v>
      </c>
    </row>
    <row r="33" spans="1:2" x14ac:dyDescent="0.25">
      <c r="A33" s="1" t="s">
        <v>197</v>
      </c>
      <c r="B33" s="10">
        <v>1.577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Form for Providing Data</vt:lpstr>
      <vt:lpstr>AIM Toolkit Results</vt:lpstr>
      <vt:lpstr>Lookups</vt:lpstr>
      <vt:lpstr>Formulae</vt:lpstr>
      <vt:lpstr>Museum_Name</vt:lpstr>
      <vt:lpstr>Number_of_Adult_Visitors_to_your_museum_in_last_full_year</vt:lpstr>
      <vt:lpstr>Number_of_All_Visitors_to_your_museum_in_last_full_year</vt:lpstr>
      <vt:lpstr>'AIM Toolkit Results'!Print_Area</vt:lpstr>
      <vt:lpstr>Your_Name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Connolly</dc:creator>
  <cp:lastModifiedBy>Stephen Connolly</cp:lastModifiedBy>
  <cp:lastPrinted>2024-10-29T15:46:57Z</cp:lastPrinted>
  <dcterms:created xsi:type="dcterms:W3CDTF">2024-10-25T14:14:17Z</dcterms:created>
  <dcterms:modified xsi:type="dcterms:W3CDTF">2024-10-29T16:12:54Z</dcterms:modified>
</cp:coreProperties>
</file>